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3"/>
  <workbookPr defaultThemeVersion="166925"/>
  <mc:AlternateContent xmlns:mc="http://schemas.openxmlformats.org/markup-compatibility/2006">
    <mc:Choice Requires="x15">
      <x15ac:absPath xmlns:x15ac="http://schemas.microsoft.com/office/spreadsheetml/2010/11/ac" url="/Users/ptellez/Desktop/"/>
    </mc:Choice>
  </mc:AlternateContent>
  <xr:revisionPtr revIDLastSave="0" documentId="13_ncr:1_{12A37E90-69F2-1342-998F-912E9BFADEDC}" xr6:coauthVersionLast="46" xr6:coauthVersionMax="46" xr10:uidLastSave="{00000000-0000-0000-0000-000000000000}"/>
  <bookViews>
    <workbookView xWindow="35560" yWindow="560" windowWidth="33600" windowHeight="20540" xr2:uid="{00000000-000D-0000-FFFF-FFFF00000000}"/>
  </bookViews>
  <sheets>
    <sheet name="HOW TO USE THIS DOCUMENT" sheetId="1" r:id="rId1"/>
    <sheet name="All Competencies" sheetId="2" state="hidden" r:id="rId2"/>
    <sheet name="Table of Contents" sheetId="3" r:id="rId3"/>
    <sheet name="Competency Learning Paths" sheetId="4" r:id="rId4"/>
    <sheet name="Competencies 1-3" sheetId="5" r:id="rId5"/>
    <sheet name="Competencies 4-6" sheetId="6" r:id="rId6"/>
    <sheet name="Competencies 7-9" sheetId="7" r:id="rId7"/>
    <sheet name="Competencies 10-12" sheetId="8" r:id="rId8"/>
    <sheet name="Competencies 13-15" sheetId="9" r:id="rId9"/>
    <sheet name="Competencies 16-18" sheetId="10" r:id="rId10"/>
    <sheet name="Competencies 19-21" sheetId="11" r:id="rId11"/>
    <sheet name="Competencies 22-24" sheetId="12" r:id="rId12"/>
    <sheet name="Competencies 25-27" sheetId="13" r:id="rId13"/>
    <sheet name="Competencies 28" sheetId="14" r:id="rId14"/>
  </sheets>
  <definedNames>
    <definedName name="_xlnm._FilterDatabase" localSheetId="1" hidden="1">'All Competencies'!$A$1:$E$1851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82" i="14" l="1"/>
  <c r="D82" i="14"/>
  <c r="C82" i="14"/>
  <c r="E81" i="14"/>
  <c r="D81" i="14"/>
  <c r="C81" i="14"/>
  <c r="E80" i="14"/>
  <c r="D80" i="14"/>
  <c r="C80" i="14"/>
  <c r="E79" i="14"/>
  <c r="D79" i="14"/>
  <c r="C79" i="14"/>
  <c r="E78" i="14"/>
  <c r="D78" i="14"/>
  <c r="C78" i="14"/>
  <c r="E77" i="14"/>
  <c r="D77" i="14"/>
  <c r="C77" i="14"/>
  <c r="E76" i="14"/>
  <c r="D76" i="14"/>
  <c r="C76" i="14"/>
  <c r="E75" i="14"/>
  <c r="D75" i="14"/>
  <c r="C75" i="14"/>
  <c r="E74" i="14"/>
  <c r="D74" i="14"/>
  <c r="C74" i="14"/>
  <c r="E73" i="14"/>
  <c r="D73" i="14"/>
  <c r="C73" i="14"/>
  <c r="E72" i="14"/>
  <c r="D72" i="14"/>
  <c r="C72" i="14"/>
  <c r="E71" i="14"/>
  <c r="D71" i="14"/>
  <c r="C71" i="14"/>
  <c r="E70" i="14"/>
  <c r="D70" i="14"/>
  <c r="C70" i="14"/>
  <c r="E69" i="14"/>
  <c r="D69" i="14"/>
  <c r="C69" i="14"/>
  <c r="E68" i="14"/>
  <c r="D68" i="14"/>
  <c r="C68" i="14"/>
  <c r="E67" i="14"/>
  <c r="D67" i="14"/>
  <c r="C67" i="14"/>
  <c r="E66" i="14"/>
  <c r="D66" i="14"/>
  <c r="C66" i="14"/>
  <c r="E65" i="14"/>
  <c r="D65" i="14"/>
  <c r="C65" i="14"/>
  <c r="E64" i="14"/>
  <c r="D64" i="14"/>
  <c r="C64" i="14"/>
  <c r="E63" i="14"/>
  <c r="D63" i="14"/>
  <c r="C63" i="14"/>
  <c r="E62" i="14"/>
  <c r="D62" i="14"/>
  <c r="C62" i="14"/>
  <c r="E61" i="14"/>
  <c r="D61" i="14"/>
  <c r="C61" i="14"/>
  <c r="E60" i="14"/>
  <c r="D60" i="14"/>
  <c r="C60" i="14"/>
  <c r="E59" i="14"/>
  <c r="D59" i="14"/>
  <c r="C59" i="14"/>
  <c r="E58" i="14"/>
  <c r="D58" i="14"/>
  <c r="C58" i="14"/>
  <c r="E57" i="14"/>
  <c r="D57" i="14"/>
  <c r="C57" i="14"/>
  <c r="E56" i="14"/>
  <c r="D56" i="14"/>
  <c r="C56" i="14"/>
  <c r="E55" i="14"/>
  <c r="D55" i="14"/>
  <c r="C55" i="14"/>
  <c r="E54" i="14"/>
  <c r="D54" i="14"/>
  <c r="C54" i="14"/>
  <c r="E53" i="14"/>
  <c r="D53" i="14"/>
  <c r="C53" i="14"/>
  <c r="E52" i="14"/>
  <c r="D52" i="14"/>
  <c r="C52" i="14"/>
  <c r="E51" i="14"/>
  <c r="D51" i="14"/>
  <c r="C51" i="14"/>
  <c r="E50" i="14"/>
  <c r="D50" i="14"/>
  <c r="C50" i="14"/>
  <c r="E49" i="14"/>
  <c r="D49" i="14"/>
  <c r="C49" i="14"/>
  <c r="E48" i="14"/>
  <c r="D48" i="14"/>
  <c r="C48" i="14"/>
  <c r="E47" i="14"/>
  <c r="D47" i="14"/>
  <c r="C47" i="14"/>
  <c r="E46" i="14"/>
  <c r="D46" i="14"/>
  <c r="C46" i="14"/>
  <c r="E45" i="14"/>
  <c r="D45" i="14"/>
  <c r="C45" i="14"/>
  <c r="E44" i="14"/>
  <c r="D44" i="14"/>
  <c r="C44" i="14"/>
  <c r="E43" i="14"/>
  <c r="D43" i="14"/>
  <c r="C43" i="14"/>
  <c r="E42" i="14"/>
  <c r="D42" i="14"/>
  <c r="C42" i="14"/>
  <c r="E41" i="14"/>
  <c r="D41" i="14"/>
  <c r="C41" i="14"/>
  <c r="E40" i="14"/>
  <c r="D40" i="14"/>
  <c r="C40" i="14"/>
  <c r="E39" i="14"/>
  <c r="D39" i="14"/>
  <c r="C39" i="14"/>
  <c r="E38" i="14"/>
  <c r="D38" i="14"/>
  <c r="C38" i="14"/>
  <c r="E37" i="14"/>
  <c r="D37" i="14"/>
  <c r="C37" i="14"/>
  <c r="E36" i="14"/>
  <c r="D36" i="14"/>
  <c r="C36" i="14"/>
  <c r="E35" i="14"/>
  <c r="D35" i="14"/>
  <c r="C35" i="14"/>
  <c r="E34" i="14"/>
  <c r="D34" i="14"/>
  <c r="C34" i="14"/>
  <c r="E33" i="14"/>
  <c r="D33" i="14"/>
  <c r="C33" i="14"/>
  <c r="E32" i="14"/>
  <c r="D32" i="14"/>
  <c r="C32" i="14"/>
  <c r="E31" i="14"/>
  <c r="D31" i="14"/>
  <c r="C31" i="14"/>
  <c r="E30" i="14"/>
  <c r="D30" i="14"/>
  <c r="C30" i="14"/>
  <c r="E29" i="14"/>
  <c r="D29" i="14"/>
  <c r="C29" i="14"/>
  <c r="E28" i="14"/>
  <c r="D28" i="14"/>
  <c r="C28" i="14"/>
  <c r="E27" i="14"/>
  <c r="D27" i="14"/>
  <c r="C27" i="14"/>
  <c r="E26" i="14"/>
  <c r="D26" i="14"/>
  <c r="C26" i="14"/>
  <c r="E25" i="14"/>
  <c r="D25" i="14"/>
  <c r="C25" i="14"/>
  <c r="E24" i="14"/>
  <c r="D24" i="14"/>
  <c r="C24" i="14"/>
  <c r="E23" i="14"/>
  <c r="D23" i="14"/>
  <c r="C23" i="14"/>
  <c r="E22" i="14"/>
  <c r="D22" i="14"/>
  <c r="C22" i="14"/>
  <c r="E21" i="14"/>
  <c r="D21" i="14"/>
  <c r="C21" i="14"/>
  <c r="E20" i="14"/>
  <c r="D20" i="14"/>
  <c r="C20" i="14"/>
  <c r="E19" i="14"/>
  <c r="D19" i="14"/>
  <c r="C19" i="14"/>
  <c r="E18" i="14"/>
  <c r="D18" i="14"/>
  <c r="C18" i="14"/>
  <c r="E17" i="14"/>
  <c r="D17" i="14"/>
  <c r="C17" i="14"/>
  <c r="E16" i="14"/>
  <c r="D16" i="14"/>
  <c r="C16" i="14"/>
  <c r="E15" i="14"/>
  <c r="D15" i="14"/>
  <c r="C15" i="14"/>
  <c r="E14" i="14"/>
  <c r="D14" i="14"/>
  <c r="C14" i="14"/>
  <c r="E13" i="14"/>
  <c r="D13" i="14"/>
  <c r="C13" i="14"/>
  <c r="E12" i="14"/>
  <c r="D12" i="14"/>
  <c r="C12" i="14"/>
  <c r="E11" i="14"/>
  <c r="D11" i="14"/>
  <c r="C11" i="14"/>
  <c r="E10" i="14"/>
  <c r="D10" i="14"/>
  <c r="C10" i="14"/>
  <c r="F9" i="14"/>
  <c r="E9" i="14"/>
  <c r="D9" i="14"/>
  <c r="C9" i="14"/>
  <c r="F8" i="14"/>
  <c r="E8" i="14"/>
  <c r="D8" i="14"/>
  <c r="C8" i="14"/>
  <c r="F7" i="14"/>
  <c r="E7" i="14"/>
  <c r="D7" i="14"/>
  <c r="C7" i="14"/>
  <c r="F6" i="14"/>
  <c r="E6" i="14"/>
  <c r="D6" i="14"/>
  <c r="C6" i="14"/>
  <c r="F5" i="14"/>
  <c r="E5" i="14"/>
  <c r="D5" i="14"/>
  <c r="C5" i="14"/>
  <c r="F4" i="14"/>
  <c r="E4" i="14"/>
  <c r="D4" i="14"/>
  <c r="C4" i="14"/>
  <c r="C3" i="14"/>
  <c r="L75" i="13"/>
  <c r="K75" i="13"/>
  <c r="J75" i="13"/>
  <c r="L74" i="13"/>
  <c r="K74" i="13"/>
  <c r="J74" i="13"/>
  <c r="L73" i="13"/>
  <c r="K73" i="13"/>
  <c r="J73" i="13"/>
  <c r="L72" i="13"/>
  <c r="K72" i="13"/>
  <c r="J72" i="13"/>
  <c r="L71" i="13"/>
  <c r="K71" i="13"/>
  <c r="J71" i="13"/>
  <c r="L70" i="13"/>
  <c r="K70" i="13"/>
  <c r="J70" i="13"/>
  <c r="L69" i="13"/>
  <c r="K69" i="13"/>
  <c r="J69" i="13"/>
  <c r="L68" i="13"/>
  <c r="K68" i="13"/>
  <c r="J68" i="13"/>
  <c r="L67" i="13"/>
  <c r="K67" i="13"/>
  <c r="J67" i="13"/>
  <c r="L66" i="13"/>
  <c r="K66" i="13"/>
  <c r="J66" i="13"/>
  <c r="L65" i="13"/>
  <c r="K65" i="13"/>
  <c r="J65" i="13"/>
  <c r="L64" i="13"/>
  <c r="K64" i="13"/>
  <c r="J64" i="13"/>
  <c r="L63" i="13"/>
  <c r="K63" i="13"/>
  <c r="J63" i="13"/>
  <c r="L62" i="13"/>
  <c r="K62" i="13"/>
  <c r="J62" i="13"/>
  <c r="L61" i="13"/>
  <c r="K61" i="13"/>
  <c r="J61" i="13"/>
  <c r="L60" i="13"/>
  <c r="K60" i="13"/>
  <c r="J60" i="13"/>
  <c r="L59" i="13"/>
  <c r="K59" i="13"/>
  <c r="J59" i="13"/>
  <c r="L58" i="13"/>
  <c r="K58" i="13"/>
  <c r="J58" i="13"/>
  <c r="L57" i="13"/>
  <c r="K57" i="13"/>
  <c r="J57" i="13"/>
  <c r="L56" i="13"/>
  <c r="K56" i="13"/>
  <c r="J56" i="13"/>
  <c r="L55" i="13"/>
  <c r="K55" i="13"/>
  <c r="J55" i="13"/>
  <c r="L54" i="13"/>
  <c r="K54" i="13"/>
  <c r="J54" i="13"/>
  <c r="L53" i="13"/>
  <c r="K53" i="13"/>
  <c r="J53" i="13"/>
  <c r="L52" i="13"/>
  <c r="K52" i="13"/>
  <c r="J52" i="13"/>
  <c r="L51" i="13"/>
  <c r="K51" i="13"/>
  <c r="J51" i="13"/>
  <c r="L50" i="13"/>
  <c r="K50" i="13"/>
  <c r="J50" i="13"/>
  <c r="L49" i="13"/>
  <c r="K49" i="13"/>
  <c r="J49" i="13"/>
  <c r="L48" i="13"/>
  <c r="K48" i="13"/>
  <c r="J48" i="13"/>
  <c r="L47" i="13"/>
  <c r="K47" i="13"/>
  <c r="J47" i="13"/>
  <c r="L46" i="13"/>
  <c r="K46" i="13"/>
  <c r="J46" i="13"/>
  <c r="L45" i="13"/>
  <c r="K45" i="13"/>
  <c r="J45" i="13"/>
  <c r="S44" i="13"/>
  <c r="R44" i="13"/>
  <c r="Q44" i="13"/>
  <c r="L44" i="13"/>
  <c r="K44" i="13"/>
  <c r="J44" i="13"/>
  <c r="S43" i="13"/>
  <c r="R43" i="13"/>
  <c r="Q43" i="13"/>
  <c r="L43" i="13"/>
  <c r="K43" i="13"/>
  <c r="J43" i="13"/>
  <c r="S42" i="13"/>
  <c r="R42" i="13"/>
  <c r="Q42" i="13"/>
  <c r="L42" i="13"/>
  <c r="K42" i="13"/>
  <c r="J42" i="13"/>
  <c r="S41" i="13"/>
  <c r="R41" i="13"/>
  <c r="Q41" i="13"/>
  <c r="L41" i="13"/>
  <c r="K41" i="13"/>
  <c r="J41" i="13"/>
  <c r="S40" i="13"/>
  <c r="R40" i="13"/>
  <c r="Q40" i="13"/>
  <c r="L40" i="13"/>
  <c r="K40" i="13"/>
  <c r="J40" i="13"/>
  <c r="S39" i="13"/>
  <c r="R39" i="13"/>
  <c r="Q39" i="13"/>
  <c r="L39" i="13"/>
  <c r="K39" i="13"/>
  <c r="J39" i="13"/>
  <c r="S38" i="13"/>
  <c r="R38" i="13"/>
  <c r="Q38" i="13"/>
  <c r="L38" i="13"/>
  <c r="K38" i="13"/>
  <c r="J38" i="13"/>
  <c r="E38" i="13"/>
  <c r="D38" i="13"/>
  <c r="C38" i="13"/>
  <c r="S37" i="13"/>
  <c r="R37" i="13"/>
  <c r="Q37" i="13"/>
  <c r="L37" i="13"/>
  <c r="K37" i="13"/>
  <c r="J37" i="13"/>
  <c r="E37" i="13"/>
  <c r="D37" i="13"/>
  <c r="C37" i="13"/>
  <c r="S36" i="13"/>
  <c r="R36" i="13"/>
  <c r="Q36" i="13"/>
  <c r="L36" i="13"/>
  <c r="K36" i="13"/>
  <c r="J36" i="13"/>
  <c r="E36" i="13"/>
  <c r="D36" i="13"/>
  <c r="C36" i="13"/>
  <c r="S35" i="13"/>
  <c r="R35" i="13"/>
  <c r="Q35" i="13"/>
  <c r="L35" i="13"/>
  <c r="K35" i="13"/>
  <c r="J35" i="13"/>
  <c r="E35" i="13"/>
  <c r="D35" i="13"/>
  <c r="C35" i="13"/>
  <c r="S34" i="13"/>
  <c r="R34" i="13"/>
  <c r="Q34" i="13"/>
  <c r="L34" i="13"/>
  <c r="K34" i="13"/>
  <c r="J34" i="13"/>
  <c r="E34" i="13"/>
  <c r="D34" i="13"/>
  <c r="C34" i="13"/>
  <c r="S33" i="13"/>
  <c r="R33" i="13"/>
  <c r="Q33" i="13"/>
  <c r="L33" i="13"/>
  <c r="K33" i="13"/>
  <c r="J33" i="13"/>
  <c r="E33" i="13"/>
  <c r="D33" i="13"/>
  <c r="C33" i="13"/>
  <c r="S32" i="13"/>
  <c r="R32" i="13"/>
  <c r="Q32" i="13"/>
  <c r="L32" i="13"/>
  <c r="K32" i="13"/>
  <c r="J32" i="13"/>
  <c r="E32" i="13"/>
  <c r="D32" i="13"/>
  <c r="C32" i="13"/>
  <c r="S31" i="13"/>
  <c r="R31" i="13"/>
  <c r="Q31" i="13"/>
  <c r="L31" i="13"/>
  <c r="K31" i="13"/>
  <c r="J31" i="13"/>
  <c r="E31" i="13"/>
  <c r="D31" i="13"/>
  <c r="C31" i="13"/>
  <c r="S30" i="13"/>
  <c r="R30" i="13"/>
  <c r="Q30" i="13"/>
  <c r="L30" i="13"/>
  <c r="K30" i="13"/>
  <c r="J30" i="13"/>
  <c r="E30" i="13"/>
  <c r="D30" i="13"/>
  <c r="C30" i="13"/>
  <c r="S29" i="13"/>
  <c r="R29" i="13"/>
  <c r="Q29" i="13"/>
  <c r="L29" i="13"/>
  <c r="K29" i="13"/>
  <c r="J29" i="13"/>
  <c r="E29" i="13"/>
  <c r="D29" i="13"/>
  <c r="C29" i="13"/>
  <c r="S28" i="13"/>
  <c r="R28" i="13"/>
  <c r="Q28" i="13"/>
  <c r="L28" i="13"/>
  <c r="K28" i="13"/>
  <c r="J28" i="13"/>
  <c r="E28" i="13"/>
  <c r="D28" i="13"/>
  <c r="C28" i="13"/>
  <c r="S27" i="13"/>
  <c r="R27" i="13"/>
  <c r="Q27" i="13"/>
  <c r="L27" i="13"/>
  <c r="K27" i="13"/>
  <c r="J27" i="13"/>
  <c r="E27" i="13"/>
  <c r="D27" i="13"/>
  <c r="C27" i="13"/>
  <c r="S26" i="13"/>
  <c r="R26" i="13"/>
  <c r="Q26" i="13"/>
  <c r="L26" i="13"/>
  <c r="K26" i="13"/>
  <c r="J26" i="13"/>
  <c r="E26" i="13"/>
  <c r="D26" i="13"/>
  <c r="C26" i="13"/>
  <c r="S25" i="13"/>
  <c r="R25" i="13"/>
  <c r="Q25" i="13"/>
  <c r="L25" i="13"/>
  <c r="K25" i="13"/>
  <c r="J25" i="13"/>
  <c r="E25" i="13"/>
  <c r="D25" i="13"/>
  <c r="C25" i="13"/>
  <c r="S24" i="13"/>
  <c r="R24" i="13"/>
  <c r="Q24" i="13"/>
  <c r="L24" i="13"/>
  <c r="K24" i="13"/>
  <c r="J24" i="13"/>
  <c r="E24" i="13"/>
  <c r="D24" i="13"/>
  <c r="C24" i="13"/>
  <c r="S23" i="13"/>
  <c r="R23" i="13"/>
  <c r="Q23" i="13"/>
  <c r="L23" i="13"/>
  <c r="K23" i="13"/>
  <c r="J23" i="13"/>
  <c r="E23" i="13"/>
  <c r="D23" i="13"/>
  <c r="C23" i="13"/>
  <c r="S22" i="13"/>
  <c r="R22" i="13"/>
  <c r="Q22" i="13"/>
  <c r="L22" i="13"/>
  <c r="K22" i="13"/>
  <c r="J22" i="13"/>
  <c r="E22" i="13"/>
  <c r="D22" i="13"/>
  <c r="C22" i="13"/>
  <c r="S21" i="13"/>
  <c r="R21" i="13"/>
  <c r="Q21" i="13"/>
  <c r="L21" i="13"/>
  <c r="K21" i="13"/>
  <c r="J21" i="13"/>
  <c r="E21" i="13"/>
  <c r="D21" i="13"/>
  <c r="C21" i="13"/>
  <c r="S20" i="13"/>
  <c r="R20" i="13"/>
  <c r="Q20" i="13"/>
  <c r="L20" i="13"/>
  <c r="K20" i="13"/>
  <c r="J20" i="13"/>
  <c r="E20" i="13"/>
  <c r="D20" i="13"/>
  <c r="C20" i="13"/>
  <c r="S19" i="13"/>
  <c r="R19" i="13"/>
  <c r="Q19" i="13"/>
  <c r="L19" i="13"/>
  <c r="K19" i="13"/>
  <c r="J19" i="13"/>
  <c r="E19" i="13"/>
  <c r="D19" i="13"/>
  <c r="C19" i="13"/>
  <c r="S18" i="13"/>
  <c r="R18" i="13"/>
  <c r="Q18" i="13"/>
  <c r="L18" i="13"/>
  <c r="K18" i="13"/>
  <c r="J18" i="13"/>
  <c r="E18" i="13"/>
  <c r="D18" i="13"/>
  <c r="C18" i="13"/>
  <c r="S17" i="13"/>
  <c r="R17" i="13"/>
  <c r="Q17" i="13"/>
  <c r="L17" i="13"/>
  <c r="K17" i="13"/>
  <c r="J17" i="13"/>
  <c r="E17" i="13"/>
  <c r="D17" i="13"/>
  <c r="C17" i="13"/>
  <c r="S16" i="13"/>
  <c r="R16" i="13"/>
  <c r="Q16" i="13"/>
  <c r="L16" i="13"/>
  <c r="K16" i="13"/>
  <c r="J16" i="13"/>
  <c r="E16" i="13"/>
  <c r="D16" i="13"/>
  <c r="C16" i="13"/>
  <c r="S15" i="13"/>
  <c r="R15" i="13"/>
  <c r="Q15" i="13"/>
  <c r="L15" i="13"/>
  <c r="K15" i="13"/>
  <c r="J15" i="13"/>
  <c r="E15" i="13"/>
  <c r="D15" i="13"/>
  <c r="C15" i="13"/>
  <c r="S14" i="13"/>
  <c r="R14" i="13"/>
  <c r="Q14" i="13"/>
  <c r="M14" i="13"/>
  <c r="L14" i="13"/>
  <c r="K14" i="13"/>
  <c r="J14" i="13"/>
  <c r="E14" i="13"/>
  <c r="D14" i="13"/>
  <c r="C14" i="13"/>
  <c r="S13" i="13"/>
  <c r="R13" i="13"/>
  <c r="Q13" i="13"/>
  <c r="M13" i="13"/>
  <c r="L13" i="13"/>
  <c r="K13" i="13"/>
  <c r="J13" i="13"/>
  <c r="E13" i="13"/>
  <c r="D13" i="13"/>
  <c r="C13" i="13"/>
  <c r="S12" i="13"/>
  <c r="R12" i="13"/>
  <c r="Q12" i="13"/>
  <c r="M12" i="13"/>
  <c r="L12" i="13"/>
  <c r="K12" i="13"/>
  <c r="J12" i="13"/>
  <c r="F12" i="13"/>
  <c r="E12" i="13"/>
  <c r="D12" i="13"/>
  <c r="C12" i="13"/>
  <c r="S11" i="13"/>
  <c r="R11" i="13"/>
  <c r="Q11" i="13"/>
  <c r="M11" i="13"/>
  <c r="L11" i="13"/>
  <c r="K11" i="13"/>
  <c r="J11" i="13"/>
  <c r="F11" i="13"/>
  <c r="E11" i="13"/>
  <c r="D11" i="13"/>
  <c r="C11" i="13"/>
  <c r="S10" i="13"/>
  <c r="R10" i="13"/>
  <c r="Q10" i="13"/>
  <c r="M10" i="13"/>
  <c r="L10" i="13"/>
  <c r="K10" i="13"/>
  <c r="J10" i="13"/>
  <c r="F10" i="13"/>
  <c r="E10" i="13"/>
  <c r="D10" i="13"/>
  <c r="C10" i="13"/>
  <c r="S9" i="13"/>
  <c r="R9" i="13"/>
  <c r="Q9" i="13"/>
  <c r="M9" i="13"/>
  <c r="L9" i="13"/>
  <c r="K9" i="13"/>
  <c r="J9" i="13"/>
  <c r="F9" i="13"/>
  <c r="E9" i="13"/>
  <c r="D9" i="13"/>
  <c r="C9" i="13"/>
  <c r="S8" i="13"/>
  <c r="R8" i="13"/>
  <c r="Q8" i="13"/>
  <c r="M8" i="13"/>
  <c r="L8" i="13"/>
  <c r="K8" i="13"/>
  <c r="J8" i="13"/>
  <c r="F8" i="13"/>
  <c r="E8" i="13"/>
  <c r="D8" i="13"/>
  <c r="C8" i="13"/>
  <c r="S7" i="13"/>
  <c r="R7" i="13"/>
  <c r="Q7" i="13"/>
  <c r="M7" i="13"/>
  <c r="L7" i="13"/>
  <c r="K7" i="13"/>
  <c r="J7" i="13"/>
  <c r="F7" i="13"/>
  <c r="E7" i="13"/>
  <c r="D7" i="13"/>
  <c r="C7" i="13"/>
  <c r="T6" i="13"/>
  <c r="S6" i="13"/>
  <c r="R6" i="13"/>
  <c r="Q6" i="13"/>
  <c r="M6" i="13"/>
  <c r="L6" i="13"/>
  <c r="K6" i="13"/>
  <c r="J6" i="13"/>
  <c r="F6" i="13"/>
  <c r="E6" i="13"/>
  <c r="D6" i="13"/>
  <c r="C6" i="13"/>
  <c r="T5" i="13"/>
  <c r="S5" i="13"/>
  <c r="R5" i="13"/>
  <c r="Q5" i="13"/>
  <c r="M5" i="13"/>
  <c r="L5" i="13"/>
  <c r="K5" i="13"/>
  <c r="J5" i="13"/>
  <c r="F5" i="13"/>
  <c r="E5" i="13"/>
  <c r="D5" i="13"/>
  <c r="C5" i="13"/>
  <c r="T4" i="13"/>
  <c r="S4" i="13"/>
  <c r="R4" i="13"/>
  <c r="Q4" i="13"/>
  <c r="M4" i="13"/>
  <c r="L4" i="13"/>
  <c r="K4" i="13"/>
  <c r="J4" i="13"/>
  <c r="F4" i="13"/>
  <c r="E4" i="13"/>
  <c r="D4" i="13"/>
  <c r="C4" i="13"/>
  <c r="Q3" i="13"/>
  <c r="J3" i="13"/>
  <c r="C3" i="13"/>
  <c r="E72" i="12"/>
  <c r="D72" i="12"/>
  <c r="C72" i="12"/>
  <c r="E71" i="12"/>
  <c r="D71" i="12"/>
  <c r="C71" i="12"/>
  <c r="E70" i="12"/>
  <c r="D70" i="12"/>
  <c r="C70" i="12"/>
  <c r="E69" i="12"/>
  <c r="D69" i="12"/>
  <c r="C69" i="12"/>
  <c r="E68" i="12"/>
  <c r="D68" i="12"/>
  <c r="C68" i="12"/>
  <c r="E67" i="12"/>
  <c r="D67" i="12"/>
  <c r="C67" i="12"/>
  <c r="L66" i="12"/>
  <c r="K66" i="12"/>
  <c r="J66" i="12"/>
  <c r="E66" i="12"/>
  <c r="D66" i="12"/>
  <c r="C66" i="12"/>
  <c r="L65" i="12"/>
  <c r="K65" i="12"/>
  <c r="J65" i="12"/>
  <c r="E65" i="12"/>
  <c r="D65" i="12"/>
  <c r="C65" i="12"/>
  <c r="L64" i="12"/>
  <c r="K64" i="12"/>
  <c r="J64" i="12"/>
  <c r="E64" i="12"/>
  <c r="D64" i="12"/>
  <c r="C64" i="12"/>
  <c r="S63" i="12"/>
  <c r="R63" i="12"/>
  <c r="Q63" i="12"/>
  <c r="L63" i="12"/>
  <c r="K63" i="12"/>
  <c r="J63" i="12"/>
  <c r="E63" i="12"/>
  <c r="D63" i="12"/>
  <c r="C63" i="12"/>
  <c r="S62" i="12"/>
  <c r="R62" i="12"/>
  <c r="Q62" i="12"/>
  <c r="L62" i="12"/>
  <c r="K62" i="12"/>
  <c r="J62" i="12"/>
  <c r="E62" i="12"/>
  <c r="D62" i="12"/>
  <c r="C62" i="12"/>
  <c r="S61" i="12"/>
  <c r="R61" i="12"/>
  <c r="Q61" i="12"/>
  <c r="L61" i="12"/>
  <c r="K61" i="12"/>
  <c r="J61" i="12"/>
  <c r="E61" i="12"/>
  <c r="D61" i="12"/>
  <c r="C61" i="12"/>
  <c r="S60" i="12"/>
  <c r="R60" i="12"/>
  <c r="Q60" i="12"/>
  <c r="L60" i="12"/>
  <c r="K60" i="12"/>
  <c r="J60" i="12"/>
  <c r="E60" i="12"/>
  <c r="D60" i="12"/>
  <c r="C60" i="12"/>
  <c r="S59" i="12"/>
  <c r="R59" i="12"/>
  <c r="Q59" i="12"/>
  <c r="L59" i="12"/>
  <c r="K59" i="12"/>
  <c r="J59" i="12"/>
  <c r="E59" i="12"/>
  <c r="D59" i="12"/>
  <c r="C59" i="12"/>
  <c r="S58" i="12"/>
  <c r="R58" i="12"/>
  <c r="Q58" i="12"/>
  <c r="L58" i="12"/>
  <c r="K58" i="12"/>
  <c r="J58" i="12"/>
  <c r="E58" i="12"/>
  <c r="D58" i="12"/>
  <c r="C58" i="12"/>
  <c r="S57" i="12"/>
  <c r="R57" i="12"/>
  <c r="Q57" i="12"/>
  <c r="L57" i="12"/>
  <c r="K57" i="12"/>
  <c r="J57" i="12"/>
  <c r="E57" i="12"/>
  <c r="D57" i="12"/>
  <c r="C57" i="12"/>
  <c r="S56" i="12"/>
  <c r="R56" i="12"/>
  <c r="Q56" i="12"/>
  <c r="L56" i="12"/>
  <c r="K56" i="12"/>
  <c r="J56" i="12"/>
  <c r="E56" i="12"/>
  <c r="D56" i="12"/>
  <c r="C56" i="12"/>
  <c r="S55" i="12"/>
  <c r="R55" i="12"/>
  <c r="Q55" i="12"/>
  <c r="L55" i="12"/>
  <c r="K55" i="12"/>
  <c r="J55" i="12"/>
  <c r="E55" i="12"/>
  <c r="D55" i="12"/>
  <c r="C55" i="12"/>
  <c r="S54" i="12"/>
  <c r="R54" i="12"/>
  <c r="Q54" i="12"/>
  <c r="L54" i="12"/>
  <c r="K54" i="12"/>
  <c r="J54" i="12"/>
  <c r="E54" i="12"/>
  <c r="D54" i="12"/>
  <c r="C54" i="12"/>
  <c r="S53" i="12"/>
  <c r="R53" i="12"/>
  <c r="Q53" i="12"/>
  <c r="L53" i="12"/>
  <c r="K53" i="12"/>
  <c r="J53" i="12"/>
  <c r="E53" i="12"/>
  <c r="D53" i="12"/>
  <c r="C53" i="12"/>
  <c r="S52" i="12"/>
  <c r="R52" i="12"/>
  <c r="Q52" i="12"/>
  <c r="L52" i="12"/>
  <c r="K52" i="12"/>
  <c r="J52" i="12"/>
  <c r="E52" i="12"/>
  <c r="D52" i="12"/>
  <c r="C52" i="12"/>
  <c r="S51" i="12"/>
  <c r="R51" i="12"/>
  <c r="Q51" i="12"/>
  <c r="L51" i="12"/>
  <c r="K51" i="12"/>
  <c r="J51" i="12"/>
  <c r="E51" i="12"/>
  <c r="D51" i="12"/>
  <c r="C51" i="12"/>
  <c r="S50" i="12"/>
  <c r="R50" i="12"/>
  <c r="Q50" i="12"/>
  <c r="L50" i="12"/>
  <c r="K50" i="12"/>
  <c r="J50" i="12"/>
  <c r="E50" i="12"/>
  <c r="D50" i="12"/>
  <c r="C50" i="12"/>
  <c r="S49" i="12"/>
  <c r="R49" i="12"/>
  <c r="Q49" i="12"/>
  <c r="L49" i="12"/>
  <c r="K49" i="12"/>
  <c r="J49" i="12"/>
  <c r="E49" i="12"/>
  <c r="D49" i="12"/>
  <c r="C49" i="12"/>
  <c r="S48" i="12"/>
  <c r="R48" i="12"/>
  <c r="Q48" i="12"/>
  <c r="L48" i="12"/>
  <c r="K48" i="12"/>
  <c r="J48" i="12"/>
  <c r="E48" i="12"/>
  <c r="D48" i="12"/>
  <c r="C48" i="12"/>
  <c r="S47" i="12"/>
  <c r="R47" i="12"/>
  <c r="Q47" i="12"/>
  <c r="L47" i="12"/>
  <c r="K47" i="12"/>
  <c r="J47" i="12"/>
  <c r="E47" i="12"/>
  <c r="D47" i="12"/>
  <c r="C47" i="12"/>
  <c r="S46" i="12"/>
  <c r="R46" i="12"/>
  <c r="Q46" i="12"/>
  <c r="L46" i="12"/>
  <c r="K46" i="12"/>
  <c r="J46" i="12"/>
  <c r="E46" i="12"/>
  <c r="D46" i="12"/>
  <c r="C46" i="12"/>
  <c r="S45" i="12"/>
  <c r="R45" i="12"/>
  <c r="Q45" i="12"/>
  <c r="L45" i="12"/>
  <c r="K45" i="12"/>
  <c r="J45" i="12"/>
  <c r="E45" i="12"/>
  <c r="D45" i="12"/>
  <c r="C45" i="12"/>
  <c r="S44" i="12"/>
  <c r="R44" i="12"/>
  <c r="Q44" i="12"/>
  <c r="L44" i="12"/>
  <c r="K44" i="12"/>
  <c r="J44" i="12"/>
  <c r="E44" i="12"/>
  <c r="D44" i="12"/>
  <c r="C44" i="12"/>
  <c r="S43" i="12"/>
  <c r="R43" i="12"/>
  <c r="Q43" i="12"/>
  <c r="L43" i="12"/>
  <c r="K43" i="12"/>
  <c r="J43" i="12"/>
  <c r="E43" i="12"/>
  <c r="D43" i="12"/>
  <c r="C43" i="12"/>
  <c r="S42" i="12"/>
  <c r="R42" i="12"/>
  <c r="Q42" i="12"/>
  <c r="L42" i="12"/>
  <c r="K42" i="12"/>
  <c r="J42" i="12"/>
  <c r="E42" i="12"/>
  <c r="D42" i="12"/>
  <c r="C42" i="12"/>
  <c r="S41" i="12"/>
  <c r="R41" i="12"/>
  <c r="Q41" i="12"/>
  <c r="L41" i="12"/>
  <c r="K41" i="12"/>
  <c r="J41" i="12"/>
  <c r="E41" i="12"/>
  <c r="D41" i="12"/>
  <c r="C41" i="12"/>
  <c r="S40" i="12"/>
  <c r="R40" i="12"/>
  <c r="Q40" i="12"/>
  <c r="L40" i="12"/>
  <c r="K40" i="12"/>
  <c r="J40" i="12"/>
  <c r="E40" i="12"/>
  <c r="D40" i="12"/>
  <c r="C40" i="12"/>
  <c r="S39" i="12"/>
  <c r="R39" i="12"/>
  <c r="Q39" i="12"/>
  <c r="L39" i="12"/>
  <c r="K39" i="12"/>
  <c r="J39" i="12"/>
  <c r="E39" i="12"/>
  <c r="D39" i="12"/>
  <c r="C39" i="12"/>
  <c r="S38" i="12"/>
  <c r="R38" i="12"/>
  <c r="Q38" i="12"/>
  <c r="L38" i="12"/>
  <c r="K38" i="12"/>
  <c r="J38" i="12"/>
  <c r="E38" i="12"/>
  <c r="D38" i="12"/>
  <c r="C38" i="12"/>
  <c r="S37" i="12"/>
  <c r="R37" i="12"/>
  <c r="Q37" i="12"/>
  <c r="L37" i="12"/>
  <c r="K37" i="12"/>
  <c r="J37" i="12"/>
  <c r="E37" i="12"/>
  <c r="D37" i="12"/>
  <c r="C37" i="12"/>
  <c r="S36" i="12"/>
  <c r="R36" i="12"/>
  <c r="Q36" i="12"/>
  <c r="L36" i="12"/>
  <c r="K36" i="12"/>
  <c r="J36" i="12"/>
  <c r="E36" i="12"/>
  <c r="D36" i="12"/>
  <c r="C36" i="12"/>
  <c r="S35" i="12"/>
  <c r="R35" i="12"/>
  <c r="Q35" i="12"/>
  <c r="L35" i="12"/>
  <c r="K35" i="12"/>
  <c r="J35" i="12"/>
  <c r="E35" i="12"/>
  <c r="D35" i="12"/>
  <c r="C35" i="12"/>
  <c r="S34" i="12"/>
  <c r="R34" i="12"/>
  <c r="Q34" i="12"/>
  <c r="L34" i="12"/>
  <c r="K34" i="12"/>
  <c r="J34" i="12"/>
  <c r="E34" i="12"/>
  <c r="D34" i="12"/>
  <c r="C34" i="12"/>
  <c r="S33" i="12"/>
  <c r="R33" i="12"/>
  <c r="Q33" i="12"/>
  <c r="L33" i="12"/>
  <c r="K33" i="12"/>
  <c r="J33" i="12"/>
  <c r="E33" i="12"/>
  <c r="D33" i="12"/>
  <c r="C33" i="12"/>
  <c r="S32" i="12"/>
  <c r="R32" i="12"/>
  <c r="Q32" i="12"/>
  <c r="L32" i="12"/>
  <c r="K32" i="12"/>
  <c r="J32" i="12"/>
  <c r="E32" i="12"/>
  <c r="D32" i="12"/>
  <c r="C32" i="12"/>
  <c r="S31" i="12"/>
  <c r="R31" i="12"/>
  <c r="Q31" i="12"/>
  <c r="L31" i="12"/>
  <c r="K31" i="12"/>
  <c r="J31" i="12"/>
  <c r="E31" i="12"/>
  <c r="D31" i="12"/>
  <c r="C31" i="12"/>
  <c r="S30" i="12"/>
  <c r="R30" i="12"/>
  <c r="Q30" i="12"/>
  <c r="L30" i="12"/>
  <c r="K30" i="12"/>
  <c r="J30" i="12"/>
  <c r="E30" i="12"/>
  <c r="D30" i="12"/>
  <c r="C30" i="12"/>
  <c r="S29" i="12"/>
  <c r="R29" i="12"/>
  <c r="Q29" i="12"/>
  <c r="L29" i="12"/>
  <c r="K29" i="12"/>
  <c r="J29" i="12"/>
  <c r="E29" i="12"/>
  <c r="D29" i="12"/>
  <c r="C29" i="12"/>
  <c r="S28" i="12"/>
  <c r="R28" i="12"/>
  <c r="Q28" i="12"/>
  <c r="L28" i="12"/>
  <c r="K28" i="12"/>
  <c r="J28" i="12"/>
  <c r="E28" i="12"/>
  <c r="D28" i="12"/>
  <c r="C28" i="12"/>
  <c r="S27" i="12"/>
  <c r="R27" i="12"/>
  <c r="Q27" i="12"/>
  <c r="L27" i="12"/>
  <c r="K27" i="12"/>
  <c r="J27" i="12"/>
  <c r="E27" i="12"/>
  <c r="D27" i="12"/>
  <c r="C27" i="12"/>
  <c r="S26" i="12"/>
  <c r="R26" i="12"/>
  <c r="Q26" i="12"/>
  <c r="L26" i="12"/>
  <c r="K26" i="12"/>
  <c r="J26" i="12"/>
  <c r="E26" i="12"/>
  <c r="D26" i="12"/>
  <c r="C26" i="12"/>
  <c r="S25" i="12"/>
  <c r="R25" i="12"/>
  <c r="Q25" i="12"/>
  <c r="L25" i="12"/>
  <c r="K25" i="12"/>
  <c r="J25" i="12"/>
  <c r="E25" i="12"/>
  <c r="D25" i="12"/>
  <c r="C25" i="12"/>
  <c r="S24" i="12"/>
  <c r="R24" i="12"/>
  <c r="Q24" i="12"/>
  <c r="L24" i="12"/>
  <c r="K24" i="12"/>
  <c r="J24" i="12"/>
  <c r="E24" i="12"/>
  <c r="D24" i="12"/>
  <c r="C24" i="12"/>
  <c r="S23" i="12"/>
  <c r="R23" i="12"/>
  <c r="Q23" i="12"/>
  <c r="L23" i="12"/>
  <c r="K23" i="12"/>
  <c r="J23" i="12"/>
  <c r="E23" i="12"/>
  <c r="D23" i="12"/>
  <c r="C23" i="12"/>
  <c r="S22" i="12"/>
  <c r="R22" i="12"/>
  <c r="Q22" i="12"/>
  <c r="L22" i="12"/>
  <c r="K22" i="12"/>
  <c r="J22" i="12"/>
  <c r="E22" i="12"/>
  <c r="D22" i="12"/>
  <c r="C22" i="12"/>
  <c r="S21" i="12"/>
  <c r="R21" i="12"/>
  <c r="Q21" i="12"/>
  <c r="L21" i="12"/>
  <c r="K21" i="12"/>
  <c r="J21" i="12"/>
  <c r="E21" i="12"/>
  <c r="D21" i="12"/>
  <c r="C21" i="12"/>
  <c r="S20" i="12"/>
  <c r="R20" i="12"/>
  <c r="Q20" i="12"/>
  <c r="L20" i="12"/>
  <c r="K20" i="12"/>
  <c r="J20" i="12"/>
  <c r="E20" i="12"/>
  <c r="D20" i="12"/>
  <c r="C20" i="12"/>
  <c r="S19" i="12"/>
  <c r="R19" i="12"/>
  <c r="Q19" i="12"/>
  <c r="L19" i="12"/>
  <c r="K19" i="12"/>
  <c r="J19" i="12"/>
  <c r="E19" i="12"/>
  <c r="D19" i="12"/>
  <c r="C19" i="12"/>
  <c r="S18" i="12"/>
  <c r="R18" i="12"/>
  <c r="Q18" i="12"/>
  <c r="L18" i="12"/>
  <c r="K18" i="12"/>
  <c r="J18" i="12"/>
  <c r="E18" i="12"/>
  <c r="D18" i="12"/>
  <c r="C18" i="12"/>
  <c r="S17" i="12"/>
  <c r="R17" i="12"/>
  <c r="Q17" i="12"/>
  <c r="L17" i="12"/>
  <c r="K17" i="12"/>
  <c r="J17" i="12"/>
  <c r="E17" i="12"/>
  <c r="D17" i="12"/>
  <c r="C17" i="12"/>
  <c r="S16" i="12"/>
  <c r="R16" i="12"/>
  <c r="Q16" i="12"/>
  <c r="L16" i="12"/>
  <c r="K16" i="12"/>
  <c r="J16" i="12"/>
  <c r="E16" i="12"/>
  <c r="D16" i="12"/>
  <c r="C16" i="12"/>
  <c r="S15" i="12"/>
  <c r="R15" i="12"/>
  <c r="Q15" i="12"/>
  <c r="L15" i="12"/>
  <c r="K15" i="12"/>
  <c r="J15" i="12"/>
  <c r="E15" i="12"/>
  <c r="D15" i="12"/>
  <c r="C15" i="12"/>
  <c r="S14" i="12"/>
  <c r="R14" i="12"/>
  <c r="Q14" i="12"/>
  <c r="L14" i="12"/>
  <c r="K14" i="12"/>
  <c r="J14" i="12"/>
  <c r="E14" i="12"/>
  <c r="D14" i="12"/>
  <c r="C14" i="12"/>
  <c r="S13" i="12"/>
  <c r="R13" i="12"/>
  <c r="Q13" i="12"/>
  <c r="M13" i="12"/>
  <c r="L13" i="12"/>
  <c r="K13" i="12"/>
  <c r="J13" i="12"/>
  <c r="E13" i="12"/>
  <c r="D13" i="12"/>
  <c r="C13" i="12"/>
  <c r="S12" i="12"/>
  <c r="R12" i="12"/>
  <c r="Q12" i="12"/>
  <c r="M12" i="12"/>
  <c r="L12" i="12"/>
  <c r="K12" i="12"/>
  <c r="J12" i="12"/>
  <c r="E12" i="12"/>
  <c r="D12" i="12"/>
  <c r="C12" i="12"/>
  <c r="T11" i="12"/>
  <c r="S11" i="12"/>
  <c r="R11" i="12"/>
  <c r="Q11" i="12"/>
  <c r="M11" i="12"/>
  <c r="L11" i="12"/>
  <c r="K11" i="12"/>
  <c r="J11" i="12"/>
  <c r="E11" i="12"/>
  <c r="D11" i="12"/>
  <c r="C11" i="12"/>
  <c r="T10" i="12"/>
  <c r="S10" i="12"/>
  <c r="R10" i="12"/>
  <c r="Q10" i="12"/>
  <c r="M10" i="12"/>
  <c r="L10" i="12"/>
  <c r="K10" i="12"/>
  <c r="J10" i="12"/>
  <c r="E10" i="12"/>
  <c r="D10" i="12"/>
  <c r="C10" i="12"/>
  <c r="T9" i="12"/>
  <c r="S9" i="12"/>
  <c r="R9" i="12"/>
  <c r="Q9" i="12"/>
  <c r="M9" i="12"/>
  <c r="L9" i="12"/>
  <c r="K9" i="12"/>
  <c r="J9" i="12"/>
  <c r="E9" i="12"/>
  <c r="D9" i="12"/>
  <c r="C9" i="12"/>
  <c r="T8" i="12"/>
  <c r="S8" i="12"/>
  <c r="R8" i="12"/>
  <c r="Q8" i="12"/>
  <c r="M8" i="12"/>
  <c r="L8" i="12"/>
  <c r="K8" i="12"/>
  <c r="J8" i="12"/>
  <c r="F8" i="12"/>
  <c r="E8" i="12"/>
  <c r="D8" i="12"/>
  <c r="C8" i="12"/>
  <c r="T7" i="12"/>
  <c r="S7" i="12"/>
  <c r="R7" i="12"/>
  <c r="Q7" i="12"/>
  <c r="M7" i="12"/>
  <c r="L7" i="12"/>
  <c r="K7" i="12"/>
  <c r="J7" i="12"/>
  <c r="F7" i="12"/>
  <c r="E7" i="12"/>
  <c r="D7" i="12"/>
  <c r="C7" i="12"/>
  <c r="T6" i="12"/>
  <c r="S6" i="12"/>
  <c r="R6" i="12"/>
  <c r="Q6" i="12"/>
  <c r="M6" i="12"/>
  <c r="L6" i="12"/>
  <c r="K6" i="12"/>
  <c r="J6" i="12"/>
  <c r="F6" i="12"/>
  <c r="E6" i="12"/>
  <c r="D6" i="12"/>
  <c r="C6" i="12"/>
  <c r="T5" i="12"/>
  <c r="S5" i="12"/>
  <c r="R5" i="12"/>
  <c r="Q5" i="12"/>
  <c r="M5" i="12"/>
  <c r="L5" i="12"/>
  <c r="K5" i="12"/>
  <c r="J5" i="12"/>
  <c r="F5" i="12"/>
  <c r="E5" i="12"/>
  <c r="D5" i="12"/>
  <c r="C5" i="12"/>
  <c r="T4" i="12"/>
  <c r="S4" i="12"/>
  <c r="R4" i="12"/>
  <c r="Q4" i="12"/>
  <c r="M4" i="12"/>
  <c r="L4" i="12"/>
  <c r="K4" i="12"/>
  <c r="J4" i="12"/>
  <c r="F4" i="12"/>
  <c r="E4" i="12"/>
  <c r="D4" i="12"/>
  <c r="C4" i="12"/>
  <c r="Q3" i="12"/>
  <c r="J3" i="12"/>
  <c r="C3" i="12"/>
  <c r="E72" i="11"/>
  <c r="D72" i="11"/>
  <c r="C72" i="11"/>
  <c r="E71" i="11"/>
  <c r="D71" i="11"/>
  <c r="C71" i="11"/>
  <c r="E70" i="11"/>
  <c r="D70" i="11"/>
  <c r="C70" i="11"/>
  <c r="E69" i="11"/>
  <c r="D69" i="11"/>
  <c r="C69" i="11"/>
  <c r="E68" i="11"/>
  <c r="D68" i="11"/>
  <c r="C68" i="11"/>
  <c r="E67" i="11"/>
  <c r="D67" i="11"/>
  <c r="C67" i="11"/>
  <c r="E66" i="11"/>
  <c r="D66" i="11"/>
  <c r="C66" i="11"/>
  <c r="E65" i="11"/>
  <c r="D65" i="11"/>
  <c r="C65" i="11"/>
  <c r="E64" i="11"/>
  <c r="D64" i="11"/>
  <c r="C64" i="11"/>
  <c r="S63" i="11"/>
  <c r="R63" i="11"/>
  <c r="Q63" i="11"/>
  <c r="E63" i="11"/>
  <c r="D63" i="11"/>
  <c r="C63" i="11"/>
  <c r="S62" i="11"/>
  <c r="R62" i="11"/>
  <c r="Q62" i="11"/>
  <c r="E62" i="11"/>
  <c r="D62" i="11"/>
  <c r="C62" i="11"/>
  <c r="S61" i="11"/>
  <c r="R61" i="11"/>
  <c r="Q61" i="11"/>
  <c r="E61" i="11"/>
  <c r="D61" i="11"/>
  <c r="C61" i="11"/>
  <c r="S60" i="11"/>
  <c r="R60" i="11"/>
  <c r="Q60" i="11"/>
  <c r="E60" i="11"/>
  <c r="D60" i="11"/>
  <c r="C60" i="11"/>
  <c r="S59" i="11"/>
  <c r="R59" i="11"/>
  <c r="Q59" i="11"/>
  <c r="E59" i="11"/>
  <c r="D59" i="11"/>
  <c r="C59" i="11"/>
  <c r="S58" i="11"/>
  <c r="R58" i="11"/>
  <c r="Q58" i="11"/>
  <c r="E58" i="11"/>
  <c r="D58" i="11"/>
  <c r="C58" i="11"/>
  <c r="S57" i="11"/>
  <c r="R57" i="11"/>
  <c r="Q57" i="11"/>
  <c r="E57" i="11"/>
  <c r="D57" i="11"/>
  <c r="C57" i="11"/>
  <c r="S56" i="11"/>
  <c r="R56" i="11"/>
  <c r="Q56" i="11"/>
  <c r="E56" i="11"/>
  <c r="D56" i="11"/>
  <c r="C56" i="11"/>
  <c r="S55" i="11"/>
  <c r="R55" i="11"/>
  <c r="Q55" i="11"/>
  <c r="E55" i="11"/>
  <c r="D55" i="11"/>
  <c r="C55" i="11"/>
  <c r="S54" i="11"/>
  <c r="R54" i="11"/>
  <c r="Q54" i="11"/>
  <c r="E54" i="11"/>
  <c r="D54" i="11"/>
  <c r="C54" i="11"/>
  <c r="S53" i="11"/>
  <c r="R53" i="11"/>
  <c r="Q53" i="11"/>
  <c r="E53" i="11"/>
  <c r="D53" i="11"/>
  <c r="C53" i="11"/>
  <c r="S52" i="11"/>
  <c r="R52" i="11"/>
  <c r="Q52" i="11"/>
  <c r="L52" i="11"/>
  <c r="K52" i="11"/>
  <c r="J52" i="11"/>
  <c r="E52" i="11"/>
  <c r="D52" i="11"/>
  <c r="C52" i="11"/>
  <c r="S51" i="11"/>
  <c r="R51" i="11"/>
  <c r="Q51" i="11"/>
  <c r="L51" i="11"/>
  <c r="K51" i="11"/>
  <c r="J51" i="11"/>
  <c r="E51" i="11"/>
  <c r="D51" i="11"/>
  <c r="C51" i="11"/>
  <c r="S50" i="11"/>
  <c r="R50" i="11"/>
  <c r="Q50" i="11"/>
  <c r="L50" i="11"/>
  <c r="K50" i="11"/>
  <c r="J50" i="11"/>
  <c r="E50" i="11"/>
  <c r="D50" i="11"/>
  <c r="C50" i="11"/>
  <c r="S49" i="11"/>
  <c r="R49" i="11"/>
  <c r="Q49" i="11"/>
  <c r="L49" i="11"/>
  <c r="K49" i="11"/>
  <c r="J49" i="11"/>
  <c r="E49" i="11"/>
  <c r="D49" i="11"/>
  <c r="C49" i="11"/>
  <c r="S48" i="11"/>
  <c r="R48" i="11"/>
  <c r="Q48" i="11"/>
  <c r="L48" i="11"/>
  <c r="K48" i="11"/>
  <c r="J48" i="11"/>
  <c r="E48" i="11"/>
  <c r="D48" i="11"/>
  <c r="C48" i="11"/>
  <c r="S47" i="11"/>
  <c r="R47" i="11"/>
  <c r="Q47" i="11"/>
  <c r="L47" i="11"/>
  <c r="K47" i="11"/>
  <c r="J47" i="11"/>
  <c r="E47" i="11"/>
  <c r="D47" i="11"/>
  <c r="C47" i="11"/>
  <c r="S46" i="11"/>
  <c r="R46" i="11"/>
  <c r="Q46" i="11"/>
  <c r="L46" i="11"/>
  <c r="K46" i="11"/>
  <c r="J46" i="11"/>
  <c r="E46" i="11"/>
  <c r="D46" i="11"/>
  <c r="C46" i="11"/>
  <c r="S45" i="11"/>
  <c r="R45" i="11"/>
  <c r="Q45" i="11"/>
  <c r="L45" i="11"/>
  <c r="K45" i="11"/>
  <c r="J45" i="11"/>
  <c r="E45" i="11"/>
  <c r="D45" i="11"/>
  <c r="C45" i="11"/>
  <c r="S44" i="11"/>
  <c r="R44" i="11"/>
  <c r="Q44" i="11"/>
  <c r="L44" i="11"/>
  <c r="K44" i="11"/>
  <c r="J44" i="11"/>
  <c r="E44" i="11"/>
  <c r="D44" i="11"/>
  <c r="C44" i="11"/>
  <c r="S43" i="11"/>
  <c r="R43" i="11"/>
  <c r="Q43" i="11"/>
  <c r="L43" i="11"/>
  <c r="K43" i="11"/>
  <c r="J43" i="11"/>
  <c r="E43" i="11"/>
  <c r="D43" i="11"/>
  <c r="C43" i="11"/>
  <c r="S42" i="11"/>
  <c r="R42" i="11"/>
  <c r="Q42" i="11"/>
  <c r="L42" i="11"/>
  <c r="K42" i="11"/>
  <c r="J42" i="11"/>
  <c r="E42" i="11"/>
  <c r="D42" i="11"/>
  <c r="C42" i="11"/>
  <c r="S41" i="11"/>
  <c r="R41" i="11"/>
  <c r="Q41" i="11"/>
  <c r="L41" i="11"/>
  <c r="K41" i="11"/>
  <c r="J41" i="11"/>
  <c r="E41" i="11"/>
  <c r="D41" i="11"/>
  <c r="C41" i="11"/>
  <c r="S40" i="11"/>
  <c r="R40" i="11"/>
  <c r="Q40" i="11"/>
  <c r="L40" i="11"/>
  <c r="K40" i="11"/>
  <c r="J40" i="11"/>
  <c r="E40" i="11"/>
  <c r="D40" i="11"/>
  <c r="C40" i="11"/>
  <c r="S39" i="11"/>
  <c r="R39" i="11"/>
  <c r="Q39" i="11"/>
  <c r="L39" i="11"/>
  <c r="K39" i="11"/>
  <c r="J39" i="11"/>
  <c r="E39" i="11"/>
  <c r="D39" i="11"/>
  <c r="C39" i="11"/>
  <c r="S38" i="11"/>
  <c r="R38" i="11"/>
  <c r="Q38" i="11"/>
  <c r="L38" i="11"/>
  <c r="K38" i="11"/>
  <c r="J38" i="11"/>
  <c r="E38" i="11"/>
  <c r="D38" i="11"/>
  <c r="C38" i="11"/>
  <c r="S37" i="11"/>
  <c r="R37" i="11"/>
  <c r="Q37" i="11"/>
  <c r="L37" i="11"/>
  <c r="K37" i="11"/>
  <c r="J37" i="11"/>
  <c r="E37" i="11"/>
  <c r="D37" i="11"/>
  <c r="C37" i="11"/>
  <c r="S36" i="11"/>
  <c r="R36" i="11"/>
  <c r="Q36" i="11"/>
  <c r="L36" i="11"/>
  <c r="K36" i="11"/>
  <c r="J36" i="11"/>
  <c r="E36" i="11"/>
  <c r="D36" i="11"/>
  <c r="C36" i="11"/>
  <c r="S35" i="11"/>
  <c r="R35" i="11"/>
  <c r="Q35" i="11"/>
  <c r="L35" i="11"/>
  <c r="K35" i="11"/>
  <c r="J35" i="11"/>
  <c r="E35" i="11"/>
  <c r="D35" i="11"/>
  <c r="C35" i="11"/>
  <c r="S34" i="11"/>
  <c r="R34" i="11"/>
  <c r="Q34" i="11"/>
  <c r="L34" i="11"/>
  <c r="K34" i="11"/>
  <c r="J34" i="11"/>
  <c r="E34" i="11"/>
  <c r="D34" i="11"/>
  <c r="C34" i="11"/>
  <c r="S33" i="11"/>
  <c r="R33" i="11"/>
  <c r="Q33" i="11"/>
  <c r="L33" i="11"/>
  <c r="K33" i="11"/>
  <c r="J33" i="11"/>
  <c r="E33" i="11"/>
  <c r="D33" i="11"/>
  <c r="C33" i="11"/>
  <c r="S32" i="11"/>
  <c r="R32" i="11"/>
  <c r="Q32" i="11"/>
  <c r="L32" i="11"/>
  <c r="K32" i="11"/>
  <c r="J32" i="11"/>
  <c r="E32" i="11"/>
  <c r="D32" i="11"/>
  <c r="C32" i="11"/>
  <c r="S31" i="11"/>
  <c r="R31" i="11"/>
  <c r="Q31" i="11"/>
  <c r="L31" i="11"/>
  <c r="K31" i="11"/>
  <c r="J31" i="11"/>
  <c r="E31" i="11"/>
  <c r="D31" i="11"/>
  <c r="C31" i="11"/>
  <c r="S30" i="11"/>
  <c r="R30" i="11"/>
  <c r="Q30" i="11"/>
  <c r="L30" i="11"/>
  <c r="K30" i="11"/>
  <c r="J30" i="11"/>
  <c r="E30" i="11"/>
  <c r="D30" i="11"/>
  <c r="C30" i="11"/>
  <c r="S29" i="11"/>
  <c r="R29" i="11"/>
  <c r="Q29" i="11"/>
  <c r="L29" i="11"/>
  <c r="K29" i="11"/>
  <c r="J29" i="11"/>
  <c r="E29" i="11"/>
  <c r="D29" i="11"/>
  <c r="C29" i="11"/>
  <c r="S28" i="11"/>
  <c r="R28" i="11"/>
  <c r="Q28" i="11"/>
  <c r="L28" i="11"/>
  <c r="K28" i="11"/>
  <c r="J28" i="11"/>
  <c r="E28" i="11"/>
  <c r="D28" i="11"/>
  <c r="C28" i="11"/>
  <c r="S27" i="11"/>
  <c r="R27" i="11"/>
  <c r="Q27" i="11"/>
  <c r="L27" i="11"/>
  <c r="K27" i="11"/>
  <c r="J27" i="11"/>
  <c r="E27" i="11"/>
  <c r="D27" i="11"/>
  <c r="C27" i="11"/>
  <c r="S26" i="11"/>
  <c r="R26" i="11"/>
  <c r="Q26" i="11"/>
  <c r="L26" i="11"/>
  <c r="K26" i="11"/>
  <c r="J26" i="11"/>
  <c r="E26" i="11"/>
  <c r="D26" i="11"/>
  <c r="C26" i="11"/>
  <c r="S25" i="11"/>
  <c r="R25" i="11"/>
  <c r="Q25" i="11"/>
  <c r="L25" i="11"/>
  <c r="K25" i="11"/>
  <c r="J25" i="11"/>
  <c r="E25" i="11"/>
  <c r="D25" i="11"/>
  <c r="C25" i="11"/>
  <c r="S24" i="11"/>
  <c r="R24" i="11"/>
  <c r="Q24" i="11"/>
  <c r="L24" i="11"/>
  <c r="K24" i="11"/>
  <c r="J24" i="11"/>
  <c r="E24" i="11"/>
  <c r="D24" i="11"/>
  <c r="C24" i="11"/>
  <c r="S23" i="11"/>
  <c r="R23" i="11"/>
  <c r="Q23" i="11"/>
  <c r="L23" i="11"/>
  <c r="K23" i="11"/>
  <c r="J23" i="11"/>
  <c r="E23" i="11"/>
  <c r="D23" i="11"/>
  <c r="C23" i="11"/>
  <c r="S22" i="11"/>
  <c r="R22" i="11"/>
  <c r="Q22" i="11"/>
  <c r="L22" i="11"/>
  <c r="K22" i="11"/>
  <c r="J22" i="11"/>
  <c r="E22" i="11"/>
  <c r="D22" i="11"/>
  <c r="C22" i="11"/>
  <c r="S21" i="11"/>
  <c r="R21" i="11"/>
  <c r="Q21" i="11"/>
  <c r="L21" i="11"/>
  <c r="K21" i="11"/>
  <c r="J21" i="11"/>
  <c r="E21" i="11"/>
  <c r="D21" i="11"/>
  <c r="C21" i="11"/>
  <c r="T20" i="11"/>
  <c r="S20" i="11"/>
  <c r="R20" i="11"/>
  <c r="Q20" i="11"/>
  <c r="L20" i="11"/>
  <c r="K20" i="11"/>
  <c r="J20" i="11"/>
  <c r="E20" i="11"/>
  <c r="D20" i="11"/>
  <c r="C20" i="11"/>
  <c r="T19" i="11"/>
  <c r="S19" i="11"/>
  <c r="R19" i="11"/>
  <c r="Q19" i="11"/>
  <c r="L19" i="11"/>
  <c r="K19" i="11"/>
  <c r="J19" i="11"/>
  <c r="E19" i="11"/>
  <c r="D19" i="11"/>
  <c r="C19" i="11"/>
  <c r="T18" i="11"/>
  <c r="S18" i="11"/>
  <c r="R18" i="11"/>
  <c r="Q18" i="11"/>
  <c r="L18" i="11"/>
  <c r="K18" i="11"/>
  <c r="J18" i="11"/>
  <c r="E18" i="11"/>
  <c r="D18" i="11"/>
  <c r="C18" i="11"/>
  <c r="T17" i="11"/>
  <c r="S17" i="11"/>
  <c r="R17" i="11"/>
  <c r="Q17" i="11"/>
  <c r="L17" i="11"/>
  <c r="K17" i="11"/>
  <c r="J17" i="11"/>
  <c r="E17" i="11"/>
  <c r="D17" i="11"/>
  <c r="C17" i="11"/>
  <c r="T16" i="11"/>
  <c r="S16" i="11"/>
  <c r="R16" i="11"/>
  <c r="Q16" i="11"/>
  <c r="L16" i="11"/>
  <c r="K16" i="11"/>
  <c r="J16" i="11"/>
  <c r="E16" i="11"/>
  <c r="D16" i="11"/>
  <c r="C16" i="11"/>
  <c r="T15" i="11"/>
  <c r="S15" i="11"/>
  <c r="R15" i="11"/>
  <c r="Q15" i="11"/>
  <c r="L15" i="11"/>
  <c r="K15" i="11"/>
  <c r="J15" i="11"/>
  <c r="E15" i="11"/>
  <c r="D15" i="11"/>
  <c r="C15" i="11"/>
  <c r="T14" i="11"/>
  <c r="S14" i="11"/>
  <c r="R14" i="11"/>
  <c r="Q14" i="11"/>
  <c r="L14" i="11"/>
  <c r="K14" i="11"/>
  <c r="J14" i="11"/>
  <c r="E14" i="11"/>
  <c r="D14" i="11"/>
  <c r="C14" i="11"/>
  <c r="T13" i="11"/>
  <c r="S13" i="11"/>
  <c r="R13" i="11"/>
  <c r="Q13" i="11"/>
  <c r="L13" i="11"/>
  <c r="K13" i="11"/>
  <c r="J13" i="11"/>
  <c r="E13" i="11"/>
  <c r="D13" i="11"/>
  <c r="C13" i="11"/>
  <c r="T12" i="11"/>
  <c r="S12" i="11"/>
  <c r="R12" i="11"/>
  <c r="Q12" i="11"/>
  <c r="L12" i="11"/>
  <c r="K12" i="11"/>
  <c r="J12" i="11"/>
  <c r="F12" i="11"/>
  <c r="E12" i="11"/>
  <c r="D12" i="11"/>
  <c r="C12" i="11"/>
  <c r="T11" i="11"/>
  <c r="S11" i="11"/>
  <c r="R11" i="11"/>
  <c r="Q11" i="11"/>
  <c r="L11" i="11"/>
  <c r="K11" i="11"/>
  <c r="J11" i="11"/>
  <c r="F11" i="11"/>
  <c r="E11" i="11"/>
  <c r="D11" i="11"/>
  <c r="C11" i="11"/>
  <c r="T10" i="11"/>
  <c r="S10" i="11"/>
  <c r="R10" i="11"/>
  <c r="Q10" i="11"/>
  <c r="L10" i="11"/>
  <c r="K10" i="11"/>
  <c r="J10" i="11"/>
  <c r="F10" i="11"/>
  <c r="E10" i="11"/>
  <c r="D10" i="11"/>
  <c r="C10" i="11"/>
  <c r="T9" i="11"/>
  <c r="S9" i="11"/>
  <c r="R9" i="11"/>
  <c r="Q9" i="11"/>
  <c r="M9" i="11"/>
  <c r="L9" i="11"/>
  <c r="K9" i="11"/>
  <c r="J9" i="11"/>
  <c r="F9" i="11"/>
  <c r="E9" i="11"/>
  <c r="D9" i="11"/>
  <c r="C9" i="11"/>
  <c r="T8" i="11"/>
  <c r="S8" i="11"/>
  <c r="R8" i="11"/>
  <c r="Q8" i="11"/>
  <c r="M8" i="11"/>
  <c r="L8" i="11"/>
  <c r="K8" i="11"/>
  <c r="J8" i="11"/>
  <c r="F8" i="11"/>
  <c r="E8" i="11"/>
  <c r="D8" i="11"/>
  <c r="C8" i="11"/>
  <c r="T7" i="11"/>
  <c r="S7" i="11"/>
  <c r="R7" i="11"/>
  <c r="Q7" i="11"/>
  <c r="M7" i="11"/>
  <c r="L7" i="11"/>
  <c r="K7" i="11"/>
  <c r="J7" i="11"/>
  <c r="F7" i="11"/>
  <c r="E7" i="11"/>
  <c r="D7" i="11"/>
  <c r="C7" i="11"/>
  <c r="T6" i="11"/>
  <c r="S6" i="11"/>
  <c r="R6" i="11"/>
  <c r="Q6" i="11"/>
  <c r="M6" i="11"/>
  <c r="L6" i="11"/>
  <c r="K6" i="11"/>
  <c r="J6" i="11"/>
  <c r="F6" i="11"/>
  <c r="E6" i="11"/>
  <c r="D6" i="11"/>
  <c r="C6" i="11"/>
  <c r="T5" i="11"/>
  <c r="S5" i="11"/>
  <c r="R5" i="11"/>
  <c r="Q5" i="11"/>
  <c r="M5" i="11"/>
  <c r="L5" i="11"/>
  <c r="K5" i="11"/>
  <c r="J5" i="11"/>
  <c r="F5" i="11"/>
  <c r="E5" i="11"/>
  <c r="D5" i="11"/>
  <c r="C5" i="11"/>
  <c r="T4" i="11"/>
  <c r="S4" i="11"/>
  <c r="R4" i="11"/>
  <c r="Q4" i="11"/>
  <c r="M4" i="11"/>
  <c r="L4" i="11"/>
  <c r="K4" i="11"/>
  <c r="J4" i="11"/>
  <c r="F4" i="11"/>
  <c r="E4" i="11"/>
  <c r="D4" i="11"/>
  <c r="C4" i="11"/>
  <c r="Q3" i="11"/>
  <c r="J3" i="11"/>
  <c r="C3" i="11"/>
  <c r="L99" i="10"/>
  <c r="K99" i="10"/>
  <c r="J99" i="10"/>
  <c r="L98" i="10"/>
  <c r="K98" i="10"/>
  <c r="J98" i="10"/>
  <c r="L97" i="10"/>
  <c r="K97" i="10"/>
  <c r="J97" i="10"/>
  <c r="L96" i="10"/>
  <c r="K96" i="10"/>
  <c r="J96" i="10"/>
  <c r="L95" i="10"/>
  <c r="K95" i="10"/>
  <c r="J95" i="10"/>
  <c r="L94" i="10"/>
  <c r="K94" i="10"/>
  <c r="J94" i="10"/>
  <c r="L93" i="10"/>
  <c r="K93" i="10"/>
  <c r="J93" i="10"/>
  <c r="L92" i="10"/>
  <c r="K92" i="10"/>
  <c r="J92" i="10"/>
  <c r="L91" i="10"/>
  <c r="K91" i="10"/>
  <c r="J91" i="10"/>
  <c r="L90" i="10"/>
  <c r="K90" i="10"/>
  <c r="J90" i="10"/>
  <c r="L89" i="10"/>
  <c r="K89" i="10"/>
  <c r="J89" i="10"/>
  <c r="L88" i="10"/>
  <c r="K88" i="10"/>
  <c r="J88" i="10"/>
  <c r="L87" i="10"/>
  <c r="K87" i="10"/>
  <c r="J87" i="10"/>
  <c r="L86" i="10"/>
  <c r="K86" i="10"/>
  <c r="J86" i="10"/>
  <c r="L85" i="10"/>
  <c r="K85" i="10"/>
  <c r="J85" i="10"/>
  <c r="L84" i="10"/>
  <c r="K84" i="10"/>
  <c r="J84" i="10"/>
  <c r="L83" i="10"/>
  <c r="K83" i="10"/>
  <c r="J83" i="10"/>
  <c r="L82" i="10"/>
  <c r="K82" i="10"/>
  <c r="J82" i="10"/>
  <c r="L81" i="10"/>
  <c r="K81" i="10"/>
  <c r="J81" i="10"/>
  <c r="L80" i="10"/>
  <c r="K80" i="10"/>
  <c r="J80" i="10"/>
  <c r="L79" i="10"/>
  <c r="K79" i="10"/>
  <c r="J79" i="10"/>
  <c r="L78" i="10"/>
  <c r="K78" i="10"/>
  <c r="J78" i="10"/>
  <c r="L77" i="10"/>
  <c r="K77" i="10"/>
  <c r="J77" i="10"/>
  <c r="L76" i="10"/>
  <c r="K76" i="10"/>
  <c r="J76" i="10"/>
  <c r="L75" i="10"/>
  <c r="K75" i="10"/>
  <c r="J75" i="10"/>
  <c r="L74" i="10"/>
  <c r="K74" i="10"/>
  <c r="J74" i="10"/>
  <c r="L73" i="10"/>
  <c r="K73" i="10"/>
  <c r="J73" i="10"/>
  <c r="L72" i="10"/>
  <c r="K72" i="10"/>
  <c r="J72" i="10"/>
  <c r="L71" i="10"/>
  <c r="K71" i="10"/>
  <c r="J71" i="10"/>
  <c r="L70" i="10"/>
  <c r="K70" i="10"/>
  <c r="J70" i="10"/>
  <c r="S69" i="10"/>
  <c r="R69" i="10"/>
  <c r="Q69" i="10"/>
  <c r="L69" i="10"/>
  <c r="K69" i="10"/>
  <c r="J69" i="10"/>
  <c r="S68" i="10"/>
  <c r="R68" i="10"/>
  <c r="Q68" i="10"/>
  <c r="L68" i="10"/>
  <c r="K68" i="10"/>
  <c r="J68" i="10"/>
  <c r="S67" i="10"/>
  <c r="R67" i="10"/>
  <c r="Q67" i="10"/>
  <c r="L67" i="10"/>
  <c r="K67" i="10"/>
  <c r="J67" i="10"/>
  <c r="S66" i="10"/>
  <c r="R66" i="10"/>
  <c r="Q66" i="10"/>
  <c r="L66" i="10"/>
  <c r="K66" i="10"/>
  <c r="J66" i="10"/>
  <c r="S65" i="10"/>
  <c r="R65" i="10"/>
  <c r="Q65" i="10"/>
  <c r="L65" i="10"/>
  <c r="K65" i="10"/>
  <c r="J65" i="10"/>
  <c r="S64" i="10"/>
  <c r="R64" i="10"/>
  <c r="Q64" i="10"/>
  <c r="L64" i="10"/>
  <c r="K64" i="10"/>
  <c r="J64" i="10"/>
  <c r="S63" i="10"/>
  <c r="R63" i="10"/>
  <c r="Q63" i="10"/>
  <c r="L63" i="10"/>
  <c r="K63" i="10"/>
  <c r="J63" i="10"/>
  <c r="S62" i="10"/>
  <c r="R62" i="10"/>
  <c r="Q62" i="10"/>
  <c r="L62" i="10"/>
  <c r="K62" i="10"/>
  <c r="J62" i="10"/>
  <c r="S61" i="10"/>
  <c r="R61" i="10"/>
  <c r="Q61" i="10"/>
  <c r="L61" i="10"/>
  <c r="K61" i="10"/>
  <c r="J61" i="10"/>
  <c r="E61" i="10"/>
  <c r="D61" i="10"/>
  <c r="C61" i="10"/>
  <c r="S60" i="10"/>
  <c r="R60" i="10"/>
  <c r="Q60" i="10"/>
  <c r="L60" i="10"/>
  <c r="K60" i="10"/>
  <c r="J60" i="10"/>
  <c r="E60" i="10"/>
  <c r="D60" i="10"/>
  <c r="C60" i="10"/>
  <c r="S59" i="10"/>
  <c r="R59" i="10"/>
  <c r="Q59" i="10"/>
  <c r="L59" i="10"/>
  <c r="K59" i="10"/>
  <c r="J59" i="10"/>
  <c r="E59" i="10"/>
  <c r="D59" i="10"/>
  <c r="C59" i="10"/>
  <c r="S58" i="10"/>
  <c r="R58" i="10"/>
  <c r="Q58" i="10"/>
  <c r="L58" i="10"/>
  <c r="K58" i="10"/>
  <c r="J58" i="10"/>
  <c r="E58" i="10"/>
  <c r="D58" i="10"/>
  <c r="C58" i="10"/>
  <c r="S57" i="10"/>
  <c r="R57" i="10"/>
  <c r="Q57" i="10"/>
  <c r="L57" i="10"/>
  <c r="K57" i="10"/>
  <c r="J57" i="10"/>
  <c r="E57" i="10"/>
  <c r="D57" i="10"/>
  <c r="C57" i="10"/>
  <c r="S56" i="10"/>
  <c r="R56" i="10"/>
  <c r="Q56" i="10"/>
  <c r="L56" i="10"/>
  <c r="K56" i="10"/>
  <c r="J56" i="10"/>
  <c r="E56" i="10"/>
  <c r="D56" i="10"/>
  <c r="C56" i="10"/>
  <c r="S55" i="10"/>
  <c r="R55" i="10"/>
  <c r="Q55" i="10"/>
  <c r="L55" i="10"/>
  <c r="K55" i="10"/>
  <c r="J55" i="10"/>
  <c r="E55" i="10"/>
  <c r="D55" i="10"/>
  <c r="C55" i="10"/>
  <c r="S54" i="10"/>
  <c r="R54" i="10"/>
  <c r="Q54" i="10"/>
  <c r="L54" i="10"/>
  <c r="K54" i="10"/>
  <c r="J54" i="10"/>
  <c r="E54" i="10"/>
  <c r="D54" i="10"/>
  <c r="C54" i="10"/>
  <c r="S53" i="10"/>
  <c r="R53" i="10"/>
  <c r="Q53" i="10"/>
  <c r="L53" i="10"/>
  <c r="K53" i="10"/>
  <c r="J53" i="10"/>
  <c r="E53" i="10"/>
  <c r="D53" i="10"/>
  <c r="C53" i="10"/>
  <c r="S52" i="10"/>
  <c r="R52" i="10"/>
  <c r="Q52" i="10"/>
  <c r="L52" i="10"/>
  <c r="K52" i="10"/>
  <c r="J52" i="10"/>
  <c r="E52" i="10"/>
  <c r="D52" i="10"/>
  <c r="C52" i="10"/>
  <c r="S51" i="10"/>
  <c r="R51" i="10"/>
  <c r="Q51" i="10"/>
  <c r="L51" i="10"/>
  <c r="K51" i="10"/>
  <c r="J51" i="10"/>
  <c r="E51" i="10"/>
  <c r="D51" i="10"/>
  <c r="C51" i="10"/>
  <c r="S50" i="10"/>
  <c r="R50" i="10"/>
  <c r="Q50" i="10"/>
  <c r="L50" i="10"/>
  <c r="K50" i="10"/>
  <c r="J50" i="10"/>
  <c r="E50" i="10"/>
  <c r="D50" i="10"/>
  <c r="C50" i="10"/>
  <c r="S49" i="10"/>
  <c r="R49" i="10"/>
  <c r="Q49" i="10"/>
  <c r="L49" i="10"/>
  <c r="K49" i="10"/>
  <c r="J49" i="10"/>
  <c r="E49" i="10"/>
  <c r="D49" i="10"/>
  <c r="C49" i="10"/>
  <c r="S48" i="10"/>
  <c r="R48" i="10"/>
  <c r="Q48" i="10"/>
  <c r="L48" i="10"/>
  <c r="K48" i="10"/>
  <c r="J48" i="10"/>
  <c r="E48" i="10"/>
  <c r="D48" i="10"/>
  <c r="C48" i="10"/>
  <c r="S47" i="10"/>
  <c r="R47" i="10"/>
  <c r="Q47" i="10"/>
  <c r="L47" i="10"/>
  <c r="K47" i="10"/>
  <c r="J47" i="10"/>
  <c r="E47" i="10"/>
  <c r="D47" i="10"/>
  <c r="C47" i="10"/>
  <c r="S46" i="10"/>
  <c r="R46" i="10"/>
  <c r="Q46" i="10"/>
  <c r="L46" i="10"/>
  <c r="K46" i="10"/>
  <c r="J46" i="10"/>
  <c r="E46" i="10"/>
  <c r="D46" i="10"/>
  <c r="C46" i="10"/>
  <c r="S45" i="10"/>
  <c r="R45" i="10"/>
  <c r="Q45" i="10"/>
  <c r="L45" i="10"/>
  <c r="K45" i="10"/>
  <c r="J45" i="10"/>
  <c r="E45" i="10"/>
  <c r="D45" i="10"/>
  <c r="C45" i="10"/>
  <c r="S44" i="10"/>
  <c r="R44" i="10"/>
  <c r="Q44" i="10"/>
  <c r="L44" i="10"/>
  <c r="K44" i="10"/>
  <c r="J44" i="10"/>
  <c r="E44" i="10"/>
  <c r="D44" i="10"/>
  <c r="C44" i="10"/>
  <c r="S43" i="10"/>
  <c r="R43" i="10"/>
  <c r="Q43" i="10"/>
  <c r="L43" i="10"/>
  <c r="K43" i="10"/>
  <c r="J43" i="10"/>
  <c r="E43" i="10"/>
  <c r="D43" i="10"/>
  <c r="C43" i="10"/>
  <c r="S42" i="10"/>
  <c r="R42" i="10"/>
  <c r="Q42" i="10"/>
  <c r="L42" i="10"/>
  <c r="K42" i="10"/>
  <c r="J42" i="10"/>
  <c r="E42" i="10"/>
  <c r="D42" i="10"/>
  <c r="C42" i="10"/>
  <c r="S41" i="10"/>
  <c r="R41" i="10"/>
  <c r="Q41" i="10"/>
  <c r="L41" i="10"/>
  <c r="K41" i="10"/>
  <c r="J41" i="10"/>
  <c r="E41" i="10"/>
  <c r="D41" i="10"/>
  <c r="C41" i="10"/>
  <c r="S40" i="10"/>
  <c r="R40" i="10"/>
  <c r="Q40" i="10"/>
  <c r="L40" i="10"/>
  <c r="K40" i="10"/>
  <c r="J40" i="10"/>
  <c r="E40" i="10"/>
  <c r="D40" i="10"/>
  <c r="C40" i="10"/>
  <c r="S39" i="10"/>
  <c r="R39" i="10"/>
  <c r="Q39" i="10"/>
  <c r="L39" i="10"/>
  <c r="K39" i="10"/>
  <c r="J39" i="10"/>
  <c r="E39" i="10"/>
  <c r="D39" i="10"/>
  <c r="C39" i="10"/>
  <c r="S38" i="10"/>
  <c r="R38" i="10"/>
  <c r="Q38" i="10"/>
  <c r="L38" i="10"/>
  <c r="K38" i="10"/>
  <c r="J38" i="10"/>
  <c r="E38" i="10"/>
  <c r="D38" i="10"/>
  <c r="C38" i="10"/>
  <c r="S37" i="10"/>
  <c r="R37" i="10"/>
  <c r="Q37" i="10"/>
  <c r="L37" i="10"/>
  <c r="K37" i="10"/>
  <c r="J37" i="10"/>
  <c r="E37" i="10"/>
  <c r="D37" i="10"/>
  <c r="C37" i="10"/>
  <c r="S36" i="10"/>
  <c r="R36" i="10"/>
  <c r="Q36" i="10"/>
  <c r="L36" i="10"/>
  <c r="K36" i="10"/>
  <c r="J36" i="10"/>
  <c r="E36" i="10"/>
  <c r="D36" i="10"/>
  <c r="C36" i="10"/>
  <c r="S35" i="10"/>
  <c r="R35" i="10"/>
  <c r="Q35" i="10"/>
  <c r="L35" i="10"/>
  <c r="K35" i="10"/>
  <c r="J35" i="10"/>
  <c r="E35" i="10"/>
  <c r="D35" i="10"/>
  <c r="C35" i="10"/>
  <c r="S34" i="10"/>
  <c r="R34" i="10"/>
  <c r="Q34" i="10"/>
  <c r="L34" i="10"/>
  <c r="K34" i="10"/>
  <c r="J34" i="10"/>
  <c r="E34" i="10"/>
  <c r="D34" i="10"/>
  <c r="C34" i="10"/>
  <c r="S33" i="10"/>
  <c r="R33" i="10"/>
  <c r="Q33" i="10"/>
  <c r="L33" i="10"/>
  <c r="K33" i="10"/>
  <c r="J33" i="10"/>
  <c r="E33" i="10"/>
  <c r="D33" i="10"/>
  <c r="C33" i="10"/>
  <c r="S32" i="10"/>
  <c r="R32" i="10"/>
  <c r="Q32" i="10"/>
  <c r="L32" i="10"/>
  <c r="K32" i="10"/>
  <c r="J32" i="10"/>
  <c r="E32" i="10"/>
  <c r="D32" i="10"/>
  <c r="C32" i="10"/>
  <c r="S31" i="10"/>
  <c r="R31" i="10"/>
  <c r="Q31" i="10"/>
  <c r="L31" i="10"/>
  <c r="K31" i="10"/>
  <c r="J31" i="10"/>
  <c r="E31" i="10"/>
  <c r="D31" i="10"/>
  <c r="C31" i="10"/>
  <c r="S30" i="10"/>
  <c r="R30" i="10"/>
  <c r="Q30" i="10"/>
  <c r="L30" i="10"/>
  <c r="K30" i="10"/>
  <c r="J30" i="10"/>
  <c r="E30" i="10"/>
  <c r="D30" i="10"/>
  <c r="C30" i="10"/>
  <c r="S29" i="10"/>
  <c r="R29" i="10"/>
  <c r="Q29" i="10"/>
  <c r="L29" i="10"/>
  <c r="K29" i="10"/>
  <c r="J29" i="10"/>
  <c r="E29" i="10"/>
  <c r="D29" i="10"/>
  <c r="C29" i="10"/>
  <c r="S28" i="10"/>
  <c r="R28" i="10"/>
  <c r="Q28" i="10"/>
  <c r="L28" i="10"/>
  <c r="K28" i="10"/>
  <c r="J28" i="10"/>
  <c r="E28" i="10"/>
  <c r="D28" i="10"/>
  <c r="C28" i="10"/>
  <c r="S27" i="10"/>
  <c r="R27" i="10"/>
  <c r="Q27" i="10"/>
  <c r="L27" i="10"/>
  <c r="K27" i="10"/>
  <c r="J27" i="10"/>
  <c r="E27" i="10"/>
  <c r="D27" i="10"/>
  <c r="C27" i="10"/>
  <c r="S26" i="10"/>
  <c r="R26" i="10"/>
  <c r="Q26" i="10"/>
  <c r="L26" i="10"/>
  <c r="K26" i="10"/>
  <c r="J26" i="10"/>
  <c r="E26" i="10"/>
  <c r="D26" i="10"/>
  <c r="C26" i="10"/>
  <c r="S25" i="10"/>
  <c r="R25" i="10"/>
  <c r="Q25" i="10"/>
  <c r="L25" i="10"/>
  <c r="K25" i="10"/>
  <c r="J25" i="10"/>
  <c r="E25" i="10"/>
  <c r="D25" i="10"/>
  <c r="C25" i="10"/>
  <c r="S24" i="10"/>
  <c r="R24" i="10"/>
  <c r="Q24" i="10"/>
  <c r="L24" i="10"/>
  <c r="K24" i="10"/>
  <c r="J24" i="10"/>
  <c r="E24" i="10"/>
  <c r="D24" i="10"/>
  <c r="C24" i="10"/>
  <c r="S23" i="10"/>
  <c r="R23" i="10"/>
  <c r="Q23" i="10"/>
  <c r="L23" i="10"/>
  <c r="K23" i="10"/>
  <c r="J23" i="10"/>
  <c r="E23" i="10"/>
  <c r="D23" i="10"/>
  <c r="C23" i="10"/>
  <c r="S22" i="10"/>
  <c r="R22" i="10"/>
  <c r="Q22" i="10"/>
  <c r="L22" i="10"/>
  <c r="K22" i="10"/>
  <c r="J22" i="10"/>
  <c r="E22" i="10"/>
  <c r="D22" i="10"/>
  <c r="C22" i="10"/>
  <c r="S21" i="10"/>
  <c r="R21" i="10"/>
  <c r="Q21" i="10"/>
  <c r="L21" i="10"/>
  <c r="K21" i="10"/>
  <c r="J21" i="10"/>
  <c r="E21" i="10"/>
  <c r="D21" i="10"/>
  <c r="C21" i="10"/>
  <c r="S20" i="10"/>
  <c r="R20" i="10"/>
  <c r="Q20" i="10"/>
  <c r="L20" i="10"/>
  <c r="K20" i="10"/>
  <c r="J20" i="10"/>
  <c r="E20" i="10"/>
  <c r="D20" i="10"/>
  <c r="C20" i="10"/>
  <c r="S19" i="10"/>
  <c r="R19" i="10"/>
  <c r="Q19" i="10"/>
  <c r="L19" i="10"/>
  <c r="K19" i="10"/>
  <c r="J19" i="10"/>
  <c r="E19" i="10"/>
  <c r="D19" i="10"/>
  <c r="C19" i="10"/>
  <c r="S18" i="10"/>
  <c r="R18" i="10"/>
  <c r="Q18" i="10"/>
  <c r="L18" i="10"/>
  <c r="K18" i="10"/>
  <c r="J18" i="10"/>
  <c r="E18" i="10"/>
  <c r="D18" i="10"/>
  <c r="C18" i="10"/>
  <c r="S17" i="10"/>
  <c r="R17" i="10"/>
  <c r="Q17" i="10"/>
  <c r="L17" i="10"/>
  <c r="K17" i="10"/>
  <c r="J17" i="10"/>
  <c r="E17" i="10"/>
  <c r="D17" i="10"/>
  <c r="C17" i="10"/>
  <c r="S16" i="10"/>
  <c r="R16" i="10"/>
  <c r="Q16" i="10"/>
  <c r="L16" i="10"/>
  <c r="K16" i="10"/>
  <c r="J16" i="10"/>
  <c r="E16" i="10"/>
  <c r="D16" i="10"/>
  <c r="C16" i="10"/>
  <c r="S15" i="10"/>
  <c r="R15" i="10"/>
  <c r="Q15" i="10"/>
  <c r="L15" i="10"/>
  <c r="K15" i="10"/>
  <c r="J15" i="10"/>
  <c r="E15" i="10"/>
  <c r="D15" i="10"/>
  <c r="C15" i="10"/>
  <c r="S14" i="10"/>
  <c r="R14" i="10"/>
  <c r="Q14" i="10"/>
  <c r="L14" i="10"/>
  <c r="K14" i="10"/>
  <c r="J14" i="10"/>
  <c r="E14" i="10"/>
  <c r="D14" i="10"/>
  <c r="C14" i="10"/>
  <c r="S13" i="10"/>
  <c r="R13" i="10"/>
  <c r="Q13" i="10"/>
  <c r="M13" i="10"/>
  <c r="L13" i="10"/>
  <c r="K13" i="10"/>
  <c r="J13" i="10"/>
  <c r="E13" i="10"/>
  <c r="D13" i="10"/>
  <c r="C13" i="10"/>
  <c r="T12" i="10"/>
  <c r="S12" i="10"/>
  <c r="R12" i="10"/>
  <c r="Q12" i="10"/>
  <c r="M12" i="10"/>
  <c r="L12" i="10"/>
  <c r="K12" i="10"/>
  <c r="J12" i="10"/>
  <c r="E12" i="10"/>
  <c r="D12" i="10"/>
  <c r="C12" i="10"/>
  <c r="T11" i="10"/>
  <c r="S11" i="10"/>
  <c r="R11" i="10"/>
  <c r="Q11" i="10"/>
  <c r="M11" i="10"/>
  <c r="L11" i="10"/>
  <c r="K11" i="10"/>
  <c r="J11" i="10"/>
  <c r="F11" i="10"/>
  <c r="E11" i="10"/>
  <c r="D11" i="10"/>
  <c r="C11" i="10"/>
  <c r="T10" i="10"/>
  <c r="S10" i="10"/>
  <c r="R10" i="10"/>
  <c r="Q10" i="10"/>
  <c r="M10" i="10"/>
  <c r="L10" i="10"/>
  <c r="K10" i="10"/>
  <c r="J10" i="10"/>
  <c r="F10" i="10"/>
  <c r="E10" i="10"/>
  <c r="D10" i="10"/>
  <c r="C10" i="10"/>
  <c r="T9" i="10"/>
  <c r="S9" i="10"/>
  <c r="R9" i="10"/>
  <c r="Q9" i="10"/>
  <c r="M9" i="10"/>
  <c r="L9" i="10"/>
  <c r="K9" i="10"/>
  <c r="J9" i="10"/>
  <c r="F9" i="10"/>
  <c r="E9" i="10"/>
  <c r="D9" i="10"/>
  <c r="C9" i="10"/>
  <c r="T8" i="10"/>
  <c r="S8" i="10"/>
  <c r="R8" i="10"/>
  <c r="Q8" i="10"/>
  <c r="M8" i="10"/>
  <c r="L8" i="10"/>
  <c r="K8" i="10"/>
  <c r="J8" i="10"/>
  <c r="F8" i="10"/>
  <c r="E8" i="10"/>
  <c r="D8" i="10"/>
  <c r="C8" i="10"/>
  <c r="T7" i="10"/>
  <c r="S7" i="10"/>
  <c r="R7" i="10"/>
  <c r="Q7" i="10"/>
  <c r="M7" i="10"/>
  <c r="L7" i="10"/>
  <c r="K7" i="10"/>
  <c r="J7" i="10"/>
  <c r="F7" i="10"/>
  <c r="E7" i="10"/>
  <c r="D7" i="10"/>
  <c r="C7" i="10"/>
  <c r="T6" i="10"/>
  <c r="S6" i="10"/>
  <c r="R6" i="10"/>
  <c r="Q6" i="10"/>
  <c r="M6" i="10"/>
  <c r="L6" i="10"/>
  <c r="K6" i="10"/>
  <c r="J6" i="10"/>
  <c r="F6" i="10"/>
  <c r="E6" i="10"/>
  <c r="D6" i="10"/>
  <c r="C6" i="10"/>
  <c r="T5" i="10"/>
  <c r="S5" i="10"/>
  <c r="R5" i="10"/>
  <c r="Q5" i="10"/>
  <c r="M5" i="10"/>
  <c r="L5" i="10"/>
  <c r="K5" i="10"/>
  <c r="J5" i="10"/>
  <c r="F5" i="10"/>
  <c r="E5" i="10"/>
  <c r="D5" i="10"/>
  <c r="C5" i="10"/>
  <c r="T4" i="10"/>
  <c r="S4" i="10"/>
  <c r="R4" i="10"/>
  <c r="Q4" i="10"/>
  <c r="M4" i="10"/>
  <c r="L4" i="10"/>
  <c r="K4" i="10"/>
  <c r="J4" i="10"/>
  <c r="F4" i="10"/>
  <c r="E4" i="10"/>
  <c r="D4" i="10"/>
  <c r="C4" i="10"/>
  <c r="Q3" i="10"/>
  <c r="J3" i="10"/>
  <c r="C3" i="10"/>
  <c r="E95" i="9"/>
  <c r="D95" i="9"/>
  <c r="C95" i="9"/>
  <c r="E94" i="9"/>
  <c r="D94" i="9"/>
  <c r="C94" i="9"/>
  <c r="E93" i="9"/>
  <c r="D93" i="9"/>
  <c r="C93" i="9"/>
  <c r="E92" i="9"/>
  <c r="D92" i="9"/>
  <c r="C92" i="9"/>
  <c r="E91" i="9"/>
  <c r="D91" i="9"/>
  <c r="C91" i="9"/>
  <c r="E90" i="9"/>
  <c r="D90" i="9"/>
  <c r="C90" i="9"/>
  <c r="E89" i="9"/>
  <c r="D89" i="9"/>
  <c r="C89" i="9"/>
  <c r="E88" i="9"/>
  <c r="D88" i="9"/>
  <c r="C88" i="9"/>
  <c r="E87" i="9"/>
  <c r="D87" i="9"/>
  <c r="C87" i="9"/>
  <c r="E86" i="9"/>
  <c r="D86" i="9"/>
  <c r="C86" i="9"/>
  <c r="L85" i="9"/>
  <c r="K85" i="9"/>
  <c r="J85" i="9"/>
  <c r="E85" i="9"/>
  <c r="D85" i="9"/>
  <c r="C85" i="9"/>
  <c r="L84" i="9"/>
  <c r="K84" i="9"/>
  <c r="J84" i="9"/>
  <c r="E84" i="9"/>
  <c r="D84" i="9"/>
  <c r="C84" i="9"/>
  <c r="L83" i="9"/>
  <c r="K83" i="9"/>
  <c r="J83" i="9"/>
  <c r="E83" i="9"/>
  <c r="D83" i="9"/>
  <c r="C83" i="9"/>
  <c r="L82" i="9"/>
  <c r="K82" i="9"/>
  <c r="J82" i="9"/>
  <c r="E82" i="9"/>
  <c r="D82" i="9"/>
  <c r="C82" i="9"/>
  <c r="L81" i="9"/>
  <c r="K81" i="9"/>
  <c r="J81" i="9"/>
  <c r="E81" i="9"/>
  <c r="D81" i="9"/>
  <c r="C81" i="9"/>
  <c r="L80" i="9"/>
  <c r="K80" i="9"/>
  <c r="J80" i="9"/>
  <c r="E80" i="9"/>
  <c r="D80" i="9"/>
  <c r="C80" i="9"/>
  <c r="L79" i="9"/>
  <c r="K79" i="9"/>
  <c r="J79" i="9"/>
  <c r="E79" i="9"/>
  <c r="D79" i="9"/>
  <c r="C79" i="9"/>
  <c r="S78" i="9"/>
  <c r="R78" i="9"/>
  <c r="Q78" i="9"/>
  <c r="L78" i="9"/>
  <c r="K78" i="9"/>
  <c r="J78" i="9"/>
  <c r="E78" i="9"/>
  <c r="D78" i="9"/>
  <c r="C78" i="9"/>
  <c r="S77" i="9"/>
  <c r="R77" i="9"/>
  <c r="Q77" i="9"/>
  <c r="L77" i="9"/>
  <c r="K77" i="9"/>
  <c r="J77" i="9"/>
  <c r="E77" i="9"/>
  <c r="D77" i="9"/>
  <c r="C77" i="9"/>
  <c r="S76" i="9"/>
  <c r="R76" i="9"/>
  <c r="Q76" i="9"/>
  <c r="L76" i="9"/>
  <c r="K76" i="9"/>
  <c r="J76" i="9"/>
  <c r="E76" i="9"/>
  <c r="D76" i="9"/>
  <c r="C76" i="9"/>
  <c r="S75" i="9"/>
  <c r="R75" i="9"/>
  <c r="Q75" i="9"/>
  <c r="L75" i="9"/>
  <c r="K75" i="9"/>
  <c r="J75" i="9"/>
  <c r="E75" i="9"/>
  <c r="D75" i="9"/>
  <c r="C75" i="9"/>
  <c r="S74" i="9"/>
  <c r="R74" i="9"/>
  <c r="Q74" i="9"/>
  <c r="L74" i="9"/>
  <c r="K74" i="9"/>
  <c r="J74" i="9"/>
  <c r="E74" i="9"/>
  <c r="D74" i="9"/>
  <c r="C74" i="9"/>
  <c r="S73" i="9"/>
  <c r="R73" i="9"/>
  <c r="Q73" i="9"/>
  <c r="L73" i="9"/>
  <c r="K73" i="9"/>
  <c r="J73" i="9"/>
  <c r="E73" i="9"/>
  <c r="D73" i="9"/>
  <c r="C73" i="9"/>
  <c r="S72" i="9"/>
  <c r="R72" i="9"/>
  <c r="Q72" i="9"/>
  <c r="L72" i="9"/>
  <c r="K72" i="9"/>
  <c r="J72" i="9"/>
  <c r="E72" i="9"/>
  <c r="D72" i="9"/>
  <c r="C72" i="9"/>
  <c r="S71" i="9"/>
  <c r="R71" i="9"/>
  <c r="Q71" i="9"/>
  <c r="L71" i="9"/>
  <c r="K71" i="9"/>
  <c r="J71" i="9"/>
  <c r="E71" i="9"/>
  <c r="D71" i="9"/>
  <c r="C71" i="9"/>
  <c r="S70" i="9"/>
  <c r="R70" i="9"/>
  <c r="Q70" i="9"/>
  <c r="L70" i="9"/>
  <c r="K70" i="9"/>
  <c r="J70" i="9"/>
  <c r="E70" i="9"/>
  <c r="D70" i="9"/>
  <c r="C70" i="9"/>
  <c r="S69" i="9"/>
  <c r="R69" i="9"/>
  <c r="Q69" i="9"/>
  <c r="L69" i="9"/>
  <c r="K69" i="9"/>
  <c r="J69" i="9"/>
  <c r="E69" i="9"/>
  <c r="D69" i="9"/>
  <c r="C69" i="9"/>
  <c r="S68" i="9"/>
  <c r="R68" i="9"/>
  <c r="Q68" i="9"/>
  <c r="L68" i="9"/>
  <c r="K68" i="9"/>
  <c r="J68" i="9"/>
  <c r="E68" i="9"/>
  <c r="D68" i="9"/>
  <c r="C68" i="9"/>
  <c r="S67" i="9"/>
  <c r="R67" i="9"/>
  <c r="Q67" i="9"/>
  <c r="L67" i="9"/>
  <c r="K67" i="9"/>
  <c r="J67" i="9"/>
  <c r="E67" i="9"/>
  <c r="D67" i="9"/>
  <c r="C67" i="9"/>
  <c r="S66" i="9"/>
  <c r="R66" i="9"/>
  <c r="Q66" i="9"/>
  <c r="L66" i="9"/>
  <c r="K66" i="9"/>
  <c r="J66" i="9"/>
  <c r="E66" i="9"/>
  <c r="D66" i="9"/>
  <c r="C66" i="9"/>
  <c r="S65" i="9"/>
  <c r="R65" i="9"/>
  <c r="Q65" i="9"/>
  <c r="L65" i="9"/>
  <c r="K65" i="9"/>
  <c r="J65" i="9"/>
  <c r="E65" i="9"/>
  <c r="D65" i="9"/>
  <c r="C65" i="9"/>
  <c r="S64" i="9"/>
  <c r="R64" i="9"/>
  <c r="Q64" i="9"/>
  <c r="L64" i="9"/>
  <c r="K64" i="9"/>
  <c r="J64" i="9"/>
  <c r="E64" i="9"/>
  <c r="D64" i="9"/>
  <c r="C64" i="9"/>
  <c r="S63" i="9"/>
  <c r="R63" i="9"/>
  <c r="Q63" i="9"/>
  <c r="L63" i="9"/>
  <c r="K63" i="9"/>
  <c r="J63" i="9"/>
  <c r="E63" i="9"/>
  <c r="D63" i="9"/>
  <c r="C63" i="9"/>
  <c r="S62" i="9"/>
  <c r="R62" i="9"/>
  <c r="Q62" i="9"/>
  <c r="L62" i="9"/>
  <c r="K62" i="9"/>
  <c r="J62" i="9"/>
  <c r="E62" i="9"/>
  <c r="D62" i="9"/>
  <c r="C62" i="9"/>
  <c r="S61" i="9"/>
  <c r="R61" i="9"/>
  <c r="Q61" i="9"/>
  <c r="L61" i="9"/>
  <c r="K61" i="9"/>
  <c r="J61" i="9"/>
  <c r="E61" i="9"/>
  <c r="D61" i="9"/>
  <c r="C61" i="9"/>
  <c r="S60" i="9"/>
  <c r="R60" i="9"/>
  <c r="Q60" i="9"/>
  <c r="L60" i="9"/>
  <c r="K60" i="9"/>
  <c r="J60" i="9"/>
  <c r="E60" i="9"/>
  <c r="D60" i="9"/>
  <c r="C60" i="9"/>
  <c r="S59" i="9"/>
  <c r="R59" i="9"/>
  <c r="Q59" i="9"/>
  <c r="L59" i="9"/>
  <c r="K59" i="9"/>
  <c r="J59" i="9"/>
  <c r="E59" i="9"/>
  <c r="D59" i="9"/>
  <c r="C59" i="9"/>
  <c r="S58" i="9"/>
  <c r="R58" i="9"/>
  <c r="Q58" i="9"/>
  <c r="L58" i="9"/>
  <c r="K58" i="9"/>
  <c r="J58" i="9"/>
  <c r="E58" i="9"/>
  <c r="D58" i="9"/>
  <c r="C58" i="9"/>
  <c r="S57" i="9"/>
  <c r="R57" i="9"/>
  <c r="Q57" i="9"/>
  <c r="L57" i="9"/>
  <c r="K57" i="9"/>
  <c r="J57" i="9"/>
  <c r="E57" i="9"/>
  <c r="D57" i="9"/>
  <c r="C57" i="9"/>
  <c r="S56" i="9"/>
  <c r="R56" i="9"/>
  <c r="Q56" i="9"/>
  <c r="L56" i="9"/>
  <c r="K56" i="9"/>
  <c r="J56" i="9"/>
  <c r="E56" i="9"/>
  <c r="D56" i="9"/>
  <c r="C56" i="9"/>
  <c r="S55" i="9"/>
  <c r="R55" i="9"/>
  <c r="Q55" i="9"/>
  <c r="L55" i="9"/>
  <c r="K55" i="9"/>
  <c r="J55" i="9"/>
  <c r="E55" i="9"/>
  <c r="D55" i="9"/>
  <c r="C55" i="9"/>
  <c r="S54" i="9"/>
  <c r="R54" i="9"/>
  <c r="Q54" i="9"/>
  <c r="L54" i="9"/>
  <c r="K54" i="9"/>
  <c r="J54" i="9"/>
  <c r="E54" i="9"/>
  <c r="D54" i="9"/>
  <c r="C54" i="9"/>
  <c r="S53" i="9"/>
  <c r="R53" i="9"/>
  <c r="Q53" i="9"/>
  <c r="L53" i="9"/>
  <c r="K53" i="9"/>
  <c r="J53" i="9"/>
  <c r="E53" i="9"/>
  <c r="D53" i="9"/>
  <c r="C53" i="9"/>
  <c r="S52" i="9"/>
  <c r="R52" i="9"/>
  <c r="Q52" i="9"/>
  <c r="L52" i="9"/>
  <c r="K52" i="9"/>
  <c r="J52" i="9"/>
  <c r="E52" i="9"/>
  <c r="D52" i="9"/>
  <c r="C52" i="9"/>
  <c r="S51" i="9"/>
  <c r="R51" i="9"/>
  <c r="Q51" i="9"/>
  <c r="L51" i="9"/>
  <c r="K51" i="9"/>
  <c r="J51" i="9"/>
  <c r="E51" i="9"/>
  <c r="D51" i="9"/>
  <c r="C51" i="9"/>
  <c r="S50" i="9"/>
  <c r="R50" i="9"/>
  <c r="Q50" i="9"/>
  <c r="L50" i="9"/>
  <c r="K50" i="9"/>
  <c r="J50" i="9"/>
  <c r="E50" i="9"/>
  <c r="D50" i="9"/>
  <c r="C50" i="9"/>
  <c r="S49" i="9"/>
  <c r="R49" i="9"/>
  <c r="Q49" i="9"/>
  <c r="L49" i="9"/>
  <c r="K49" i="9"/>
  <c r="J49" i="9"/>
  <c r="E49" i="9"/>
  <c r="D49" i="9"/>
  <c r="C49" i="9"/>
  <c r="S48" i="9"/>
  <c r="R48" i="9"/>
  <c r="Q48" i="9"/>
  <c r="L48" i="9"/>
  <c r="K48" i="9"/>
  <c r="J48" i="9"/>
  <c r="E48" i="9"/>
  <c r="D48" i="9"/>
  <c r="C48" i="9"/>
  <c r="S47" i="9"/>
  <c r="R47" i="9"/>
  <c r="Q47" i="9"/>
  <c r="L47" i="9"/>
  <c r="K47" i="9"/>
  <c r="J47" i="9"/>
  <c r="E47" i="9"/>
  <c r="D47" i="9"/>
  <c r="C47" i="9"/>
  <c r="S46" i="9"/>
  <c r="R46" i="9"/>
  <c r="Q46" i="9"/>
  <c r="L46" i="9"/>
  <c r="K46" i="9"/>
  <c r="J46" i="9"/>
  <c r="E46" i="9"/>
  <c r="D46" i="9"/>
  <c r="C46" i="9"/>
  <c r="S45" i="9"/>
  <c r="R45" i="9"/>
  <c r="Q45" i="9"/>
  <c r="L45" i="9"/>
  <c r="K45" i="9"/>
  <c r="J45" i="9"/>
  <c r="E45" i="9"/>
  <c r="D45" i="9"/>
  <c r="C45" i="9"/>
  <c r="S44" i="9"/>
  <c r="R44" i="9"/>
  <c r="Q44" i="9"/>
  <c r="L44" i="9"/>
  <c r="K44" i="9"/>
  <c r="J44" i="9"/>
  <c r="E44" i="9"/>
  <c r="D44" i="9"/>
  <c r="C44" i="9"/>
  <c r="S43" i="9"/>
  <c r="R43" i="9"/>
  <c r="Q43" i="9"/>
  <c r="L43" i="9"/>
  <c r="K43" i="9"/>
  <c r="J43" i="9"/>
  <c r="E43" i="9"/>
  <c r="D43" i="9"/>
  <c r="C43" i="9"/>
  <c r="S42" i="9"/>
  <c r="R42" i="9"/>
  <c r="Q42" i="9"/>
  <c r="L42" i="9"/>
  <c r="K42" i="9"/>
  <c r="J42" i="9"/>
  <c r="E42" i="9"/>
  <c r="D42" i="9"/>
  <c r="C42" i="9"/>
  <c r="S41" i="9"/>
  <c r="R41" i="9"/>
  <c r="Q41" i="9"/>
  <c r="L41" i="9"/>
  <c r="K41" i="9"/>
  <c r="J41" i="9"/>
  <c r="E41" i="9"/>
  <c r="D41" i="9"/>
  <c r="C41" i="9"/>
  <c r="S40" i="9"/>
  <c r="R40" i="9"/>
  <c r="Q40" i="9"/>
  <c r="L40" i="9"/>
  <c r="K40" i="9"/>
  <c r="J40" i="9"/>
  <c r="E40" i="9"/>
  <c r="D40" i="9"/>
  <c r="C40" i="9"/>
  <c r="S39" i="9"/>
  <c r="R39" i="9"/>
  <c r="Q39" i="9"/>
  <c r="L39" i="9"/>
  <c r="K39" i="9"/>
  <c r="J39" i="9"/>
  <c r="E39" i="9"/>
  <c r="D39" i="9"/>
  <c r="C39" i="9"/>
  <c r="S38" i="9"/>
  <c r="R38" i="9"/>
  <c r="Q38" i="9"/>
  <c r="L38" i="9"/>
  <c r="K38" i="9"/>
  <c r="J38" i="9"/>
  <c r="E38" i="9"/>
  <c r="D38" i="9"/>
  <c r="C38" i="9"/>
  <c r="S37" i="9"/>
  <c r="R37" i="9"/>
  <c r="Q37" i="9"/>
  <c r="L37" i="9"/>
  <c r="K37" i="9"/>
  <c r="J37" i="9"/>
  <c r="E37" i="9"/>
  <c r="D37" i="9"/>
  <c r="C37" i="9"/>
  <c r="S36" i="9"/>
  <c r="R36" i="9"/>
  <c r="Q36" i="9"/>
  <c r="L36" i="9"/>
  <c r="K36" i="9"/>
  <c r="J36" i="9"/>
  <c r="E36" i="9"/>
  <c r="D36" i="9"/>
  <c r="C36" i="9"/>
  <c r="S35" i="9"/>
  <c r="R35" i="9"/>
  <c r="Q35" i="9"/>
  <c r="L35" i="9"/>
  <c r="K35" i="9"/>
  <c r="J35" i="9"/>
  <c r="E35" i="9"/>
  <c r="D35" i="9"/>
  <c r="C35" i="9"/>
  <c r="S34" i="9"/>
  <c r="R34" i="9"/>
  <c r="Q34" i="9"/>
  <c r="L34" i="9"/>
  <c r="K34" i="9"/>
  <c r="J34" i="9"/>
  <c r="E34" i="9"/>
  <c r="D34" i="9"/>
  <c r="C34" i="9"/>
  <c r="S33" i="9"/>
  <c r="R33" i="9"/>
  <c r="Q33" i="9"/>
  <c r="L33" i="9"/>
  <c r="K33" i="9"/>
  <c r="J33" i="9"/>
  <c r="E33" i="9"/>
  <c r="D33" i="9"/>
  <c r="C33" i="9"/>
  <c r="S32" i="9"/>
  <c r="R32" i="9"/>
  <c r="Q32" i="9"/>
  <c r="L32" i="9"/>
  <c r="K32" i="9"/>
  <c r="J32" i="9"/>
  <c r="E32" i="9"/>
  <c r="D32" i="9"/>
  <c r="C32" i="9"/>
  <c r="S31" i="9"/>
  <c r="R31" i="9"/>
  <c r="Q31" i="9"/>
  <c r="L31" i="9"/>
  <c r="K31" i="9"/>
  <c r="J31" i="9"/>
  <c r="E31" i="9"/>
  <c r="D31" i="9"/>
  <c r="C31" i="9"/>
  <c r="S30" i="9"/>
  <c r="R30" i="9"/>
  <c r="Q30" i="9"/>
  <c r="L30" i="9"/>
  <c r="K30" i="9"/>
  <c r="J30" i="9"/>
  <c r="E30" i="9"/>
  <c r="D30" i="9"/>
  <c r="C30" i="9"/>
  <c r="S29" i="9"/>
  <c r="R29" i="9"/>
  <c r="Q29" i="9"/>
  <c r="L29" i="9"/>
  <c r="K29" i="9"/>
  <c r="J29" i="9"/>
  <c r="E29" i="9"/>
  <c r="D29" i="9"/>
  <c r="C29" i="9"/>
  <c r="S28" i="9"/>
  <c r="R28" i="9"/>
  <c r="Q28" i="9"/>
  <c r="L28" i="9"/>
  <c r="K28" i="9"/>
  <c r="J28" i="9"/>
  <c r="E28" i="9"/>
  <c r="D28" i="9"/>
  <c r="C28" i="9"/>
  <c r="S27" i="9"/>
  <c r="R27" i="9"/>
  <c r="Q27" i="9"/>
  <c r="L27" i="9"/>
  <c r="K27" i="9"/>
  <c r="J27" i="9"/>
  <c r="E27" i="9"/>
  <c r="D27" i="9"/>
  <c r="C27" i="9"/>
  <c r="S26" i="9"/>
  <c r="R26" i="9"/>
  <c r="Q26" i="9"/>
  <c r="L26" i="9"/>
  <c r="K26" i="9"/>
  <c r="J26" i="9"/>
  <c r="E26" i="9"/>
  <c r="D26" i="9"/>
  <c r="C26" i="9"/>
  <c r="S25" i="9"/>
  <c r="R25" i="9"/>
  <c r="Q25" i="9"/>
  <c r="L25" i="9"/>
  <c r="K25" i="9"/>
  <c r="J25" i="9"/>
  <c r="E25" i="9"/>
  <c r="D25" i="9"/>
  <c r="C25" i="9"/>
  <c r="S24" i="9"/>
  <c r="R24" i="9"/>
  <c r="Q24" i="9"/>
  <c r="L24" i="9"/>
  <c r="K24" i="9"/>
  <c r="J24" i="9"/>
  <c r="E24" i="9"/>
  <c r="D24" i="9"/>
  <c r="C24" i="9"/>
  <c r="S23" i="9"/>
  <c r="R23" i="9"/>
  <c r="Q23" i="9"/>
  <c r="L23" i="9"/>
  <c r="K23" i="9"/>
  <c r="J23" i="9"/>
  <c r="E23" i="9"/>
  <c r="D23" i="9"/>
  <c r="C23" i="9"/>
  <c r="S22" i="9"/>
  <c r="R22" i="9"/>
  <c r="Q22" i="9"/>
  <c r="L22" i="9"/>
  <c r="K22" i="9"/>
  <c r="J22" i="9"/>
  <c r="E22" i="9"/>
  <c r="D22" i="9"/>
  <c r="C22" i="9"/>
  <c r="S21" i="9"/>
  <c r="R21" i="9"/>
  <c r="Q21" i="9"/>
  <c r="L21" i="9"/>
  <c r="K21" i="9"/>
  <c r="J21" i="9"/>
  <c r="E21" i="9"/>
  <c r="D21" i="9"/>
  <c r="C21" i="9"/>
  <c r="S20" i="9"/>
  <c r="R20" i="9"/>
  <c r="Q20" i="9"/>
  <c r="L20" i="9"/>
  <c r="K20" i="9"/>
  <c r="J20" i="9"/>
  <c r="E20" i="9"/>
  <c r="D20" i="9"/>
  <c r="C20" i="9"/>
  <c r="T19" i="9"/>
  <c r="S19" i="9"/>
  <c r="R19" i="9"/>
  <c r="Q19" i="9"/>
  <c r="L19" i="9"/>
  <c r="K19" i="9"/>
  <c r="J19" i="9"/>
  <c r="E19" i="9"/>
  <c r="D19" i="9"/>
  <c r="C19" i="9"/>
  <c r="T18" i="9"/>
  <c r="S18" i="9"/>
  <c r="R18" i="9"/>
  <c r="Q18" i="9"/>
  <c r="L18" i="9"/>
  <c r="K18" i="9"/>
  <c r="J18" i="9"/>
  <c r="E18" i="9"/>
  <c r="D18" i="9"/>
  <c r="C18" i="9"/>
  <c r="T17" i="9"/>
  <c r="S17" i="9"/>
  <c r="R17" i="9"/>
  <c r="Q17" i="9"/>
  <c r="L17" i="9"/>
  <c r="K17" i="9"/>
  <c r="J17" i="9"/>
  <c r="E17" i="9"/>
  <c r="D17" i="9"/>
  <c r="C17" i="9"/>
  <c r="T16" i="9"/>
  <c r="S16" i="9"/>
  <c r="R16" i="9"/>
  <c r="Q16" i="9"/>
  <c r="L16" i="9"/>
  <c r="K16" i="9"/>
  <c r="J16" i="9"/>
  <c r="E16" i="9"/>
  <c r="D16" i="9"/>
  <c r="C16" i="9"/>
  <c r="T15" i="9"/>
  <c r="S15" i="9"/>
  <c r="R15" i="9"/>
  <c r="Q15" i="9"/>
  <c r="L15" i="9"/>
  <c r="K15" i="9"/>
  <c r="J15" i="9"/>
  <c r="E15" i="9"/>
  <c r="D15" i="9"/>
  <c r="C15" i="9"/>
  <c r="T14" i="9"/>
  <c r="S14" i="9"/>
  <c r="R14" i="9"/>
  <c r="Q14" i="9"/>
  <c r="L14" i="9"/>
  <c r="K14" i="9"/>
  <c r="J14" i="9"/>
  <c r="E14" i="9"/>
  <c r="D14" i="9"/>
  <c r="C14" i="9"/>
  <c r="T13" i="9"/>
  <c r="S13" i="9"/>
  <c r="R13" i="9"/>
  <c r="Q13" i="9"/>
  <c r="L13" i="9"/>
  <c r="K13" i="9"/>
  <c r="J13" i="9"/>
  <c r="E13" i="9"/>
  <c r="D13" i="9"/>
  <c r="C13" i="9"/>
  <c r="T12" i="9"/>
  <c r="S12" i="9"/>
  <c r="R12" i="9"/>
  <c r="Q12" i="9"/>
  <c r="L12" i="9"/>
  <c r="K12" i="9"/>
  <c r="J12" i="9"/>
  <c r="F12" i="9"/>
  <c r="E12" i="9"/>
  <c r="D12" i="9"/>
  <c r="C12" i="9"/>
  <c r="T11" i="9"/>
  <c r="S11" i="9"/>
  <c r="R11" i="9"/>
  <c r="Q11" i="9"/>
  <c r="M11" i="9"/>
  <c r="L11" i="9"/>
  <c r="K11" i="9"/>
  <c r="J11" i="9"/>
  <c r="F11" i="9"/>
  <c r="E11" i="9"/>
  <c r="D11" i="9"/>
  <c r="C11" i="9"/>
  <c r="T10" i="9"/>
  <c r="S10" i="9"/>
  <c r="R10" i="9"/>
  <c r="Q10" i="9"/>
  <c r="M10" i="9"/>
  <c r="L10" i="9"/>
  <c r="K10" i="9"/>
  <c r="J10" i="9"/>
  <c r="F10" i="9"/>
  <c r="E10" i="9"/>
  <c r="D10" i="9"/>
  <c r="C10" i="9"/>
  <c r="T9" i="9"/>
  <c r="S9" i="9"/>
  <c r="R9" i="9"/>
  <c r="Q9" i="9"/>
  <c r="M9" i="9"/>
  <c r="L9" i="9"/>
  <c r="K9" i="9"/>
  <c r="J9" i="9"/>
  <c r="F9" i="9"/>
  <c r="E9" i="9"/>
  <c r="D9" i="9"/>
  <c r="C9" i="9"/>
  <c r="T8" i="9"/>
  <c r="S8" i="9"/>
  <c r="R8" i="9"/>
  <c r="Q8" i="9"/>
  <c r="M8" i="9"/>
  <c r="L8" i="9"/>
  <c r="K8" i="9"/>
  <c r="J8" i="9"/>
  <c r="F8" i="9"/>
  <c r="E8" i="9"/>
  <c r="D8" i="9"/>
  <c r="C8" i="9"/>
  <c r="T7" i="9"/>
  <c r="S7" i="9"/>
  <c r="R7" i="9"/>
  <c r="Q7" i="9"/>
  <c r="M7" i="9"/>
  <c r="L7" i="9"/>
  <c r="K7" i="9"/>
  <c r="J7" i="9"/>
  <c r="F7" i="9"/>
  <c r="E7" i="9"/>
  <c r="D7" i="9"/>
  <c r="C7" i="9"/>
  <c r="T6" i="9"/>
  <c r="S6" i="9"/>
  <c r="R6" i="9"/>
  <c r="Q6" i="9"/>
  <c r="M6" i="9"/>
  <c r="L6" i="9"/>
  <c r="K6" i="9"/>
  <c r="J6" i="9"/>
  <c r="F6" i="9"/>
  <c r="E6" i="9"/>
  <c r="D6" i="9"/>
  <c r="C6" i="9"/>
  <c r="T5" i="9"/>
  <c r="S5" i="9"/>
  <c r="R5" i="9"/>
  <c r="Q5" i="9"/>
  <c r="M5" i="9"/>
  <c r="L5" i="9"/>
  <c r="K5" i="9"/>
  <c r="J5" i="9"/>
  <c r="F5" i="9"/>
  <c r="E5" i="9"/>
  <c r="D5" i="9"/>
  <c r="C5" i="9"/>
  <c r="T4" i="9"/>
  <c r="S4" i="9"/>
  <c r="R4" i="9"/>
  <c r="Q4" i="9"/>
  <c r="M4" i="9"/>
  <c r="L4" i="9"/>
  <c r="K4" i="9"/>
  <c r="J4" i="9"/>
  <c r="F4" i="9"/>
  <c r="E4" i="9"/>
  <c r="D4" i="9"/>
  <c r="C4" i="9"/>
  <c r="Q3" i="9"/>
  <c r="J3" i="9"/>
  <c r="C3" i="9"/>
  <c r="L97" i="8"/>
  <c r="K97" i="8"/>
  <c r="J97" i="8"/>
  <c r="L96" i="8"/>
  <c r="K96" i="8"/>
  <c r="J96" i="8"/>
  <c r="L95" i="8"/>
  <c r="K95" i="8"/>
  <c r="J95" i="8"/>
  <c r="L94" i="8"/>
  <c r="K94" i="8"/>
  <c r="J94" i="8"/>
  <c r="L93" i="8"/>
  <c r="K93" i="8"/>
  <c r="J93" i="8"/>
  <c r="L92" i="8"/>
  <c r="K92" i="8"/>
  <c r="J92" i="8"/>
  <c r="L91" i="8"/>
  <c r="K91" i="8"/>
  <c r="J91" i="8"/>
  <c r="L90" i="8"/>
  <c r="K90" i="8"/>
  <c r="J90" i="8"/>
  <c r="L89" i="8"/>
  <c r="K89" i="8"/>
  <c r="J89" i="8"/>
  <c r="L88" i="8"/>
  <c r="K88" i="8"/>
  <c r="J88" i="8"/>
  <c r="L87" i="8"/>
  <c r="K87" i="8"/>
  <c r="J87" i="8"/>
  <c r="L86" i="8"/>
  <c r="K86" i="8"/>
  <c r="J86" i="8"/>
  <c r="L85" i="8"/>
  <c r="K85" i="8"/>
  <c r="J85" i="8"/>
  <c r="L84" i="8"/>
  <c r="K84" i="8"/>
  <c r="J84" i="8"/>
  <c r="L83" i="8"/>
  <c r="K83" i="8"/>
  <c r="J83" i="8"/>
  <c r="L82" i="8"/>
  <c r="K82" i="8"/>
  <c r="J82" i="8"/>
  <c r="L81" i="8"/>
  <c r="K81" i="8"/>
  <c r="J81" i="8"/>
  <c r="L80" i="8"/>
  <c r="K80" i="8"/>
  <c r="J80" i="8"/>
  <c r="L79" i="8"/>
  <c r="K79" i="8"/>
  <c r="J79" i="8"/>
  <c r="L78" i="8"/>
  <c r="K78" i="8"/>
  <c r="J78" i="8"/>
  <c r="S77" i="8"/>
  <c r="R77" i="8"/>
  <c r="Q77" i="8"/>
  <c r="L77" i="8"/>
  <c r="K77" i="8"/>
  <c r="J77" i="8"/>
  <c r="S76" i="8"/>
  <c r="R76" i="8"/>
  <c r="Q76" i="8"/>
  <c r="L76" i="8"/>
  <c r="K76" i="8"/>
  <c r="J76" i="8"/>
  <c r="S75" i="8"/>
  <c r="R75" i="8"/>
  <c r="Q75" i="8"/>
  <c r="L75" i="8"/>
  <c r="K75" i="8"/>
  <c r="J75" i="8"/>
  <c r="S74" i="8"/>
  <c r="R74" i="8"/>
  <c r="Q74" i="8"/>
  <c r="L74" i="8"/>
  <c r="K74" i="8"/>
  <c r="J74" i="8"/>
  <c r="S73" i="8"/>
  <c r="R73" i="8"/>
  <c r="Q73" i="8"/>
  <c r="L73" i="8"/>
  <c r="K73" i="8"/>
  <c r="J73" i="8"/>
  <c r="S72" i="8"/>
  <c r="R72" i="8"/>
  <c r="Q72" i="8"/>
  <c r="L72" i="8"/>
  <c r="K72" i="8"/>
  <c r="J72" i="8"/>
  <c r="S71" i="8"/>
  <c r="R71" i="8"/>
  <c r="Q71" i="8"/>
  <c r="L71" i="8"/>
  <c r="K71" i="8"/>
  <c r="J71" i="8"/>
  <c r="S70" i="8"/>
  <c r="R70" i="8"/>
  <c r="Q70" i="8"/>
  <c r="L70" i="8"/>
  <c r="K70" i="8"/>
  <c r="J70" i="8"/>
  <c r="S69" i="8"/>
  <c r="R69" i="8"/>
  <c r="Q69" i="8"/>
  <c r="L69" i="8"/>
  <c r="K69" i="8"/>
  <c r="J69" i="8"/>
  <c r="S68" i="8"/>
  <c r="R68" i="8"/>
  <c r="Q68" i="8"/>
  <c r="L68" i="8"/>
  <c r="K68" i="8"/>
  <c r="J68" i="8"/>
  <c r="S67" i="8"/>
  <c r="R67" i="8"/>
  <c r="Q67" i="8"/>
  <c r="L67" i="8"/>
  <c r="K67" i="8"/>
  <c r="J67" i="8"/>
  <c r="S66" i="8"/>
  <c r="R66" i="8"/>
  <c r="Q66" i="8"/>
  <c r="L66" i="8"/>
  <c r="K66" i="8"/>
  <c r="J66" i="8"/>
  <c r="S65" i="8"/>
  <c r="R65" i="8"/>
  <c r="Q65" i="8"/>
  <c r="L65" i="8"/>
  <c r="K65" i="8"/>
  <c r="J65" i="8"/>
  <c r="S64" i="8"/>
  <c r="R64" i="8"/>
  <c r="Q64" i="8"/>
  <c r="L64" i="8"/>
  <c r="K64" i="8"/>
  <c r="J64" i="8"/>
  <c r="E64" i="8"/>
  <c r="D64" i="8"/>
  <c r="C64" i="8"/>
  <c r="S63" i="8"/>
  <c r="R63" i="8"/>
  <c r="Q63" i="8"/>
  <c r="L63" i="8"/>
  <c r="K63" i="8"/>
  <c r="J63" i="8"/>
  <c r="E63" i="8"/>
  <c r="D63" i="8"/>
  <c r="C63" i="8"/>
  <c r="S62" i="8"/>
  <c r="R62" i="8"/>
  <c r="Q62" i="8"/>
  <c r="L62" i="8"/>
  <c r="K62" i="8"/>
  <c r="J62" i="8"/>
  <c r="E62" i="8"/>
  <c r="D62" i="8"/>
  <c r="C62" i="8"/>
  <c r="S61" i="8"/>
  <c r="R61" i="8"/>
  <c r="Q61" i="8"/>
  <c r="L61" i="8"/>
  <c r="K61" i="8"/>
  <c r="J61" i="8"/>
  <c r="E61" i="8"/>
  <c r="D61" i="8"/>
  <c r="C61" i="8"/>
  <c r="S60" i="8"/>
  <c r="R60" i="8"/>
  <c r="Q60" i="8"/>
  <c r="L60" i="8"/>
  <c r="K60" i="8"/>
  <c r="J60" i="8"/>
  <c r="E60" i="8"/>
  <c r="D60" i="8"/>
  <c r="C60" i="8"/>
  <c r="S59" i="8"/>
  <c r="R59" i="8"/>
  <c r="Q59" i="8"/>
  <c r="L59" i="8"/>
  <c r="K59" i="8"/>
  <c r="J59" i="8"/>
  <c r="E59" i="8"/>
  <c r="D59" i="8"/>
  <c r="C59" i="8"/>
  <c r="S58" i="8"/>
  <c r="R58" i="8"/>
  <c r="Q58" i="8"/>
  <c r="L58" i="8"/>
  <c r="K58" i="8"/>
  <c r="J58" i="8"/>
  <c r="E58" i="8"/>
  <c r="D58" i="8"/>
  <c r="C58" i="8"/>
  <c r="S57" i="8"/>
  <c r="R57" i="8"/>
  <c r="Q57" i="8"/>
  <c r="L57" i="8"/>
  <c r="K57" i="8"/>
  <c r="J57" i="8"/>
  <c r="E57" i="8"/>
  <c r="D57" i="8"/>
  <c r="C57" i="8"/>
  <c r="S56" i="8"/>
  <c r="R56" i="8"/>
  <c r="Q56" i="8"/>
  <c r="L56" i="8"/>
  <c r="K56" i="8"/>
  <c r="J56" i="8"/>
  <c r="E56" i="8"/>
  <c r="D56" i="8"/>
  <c r="C56" i="8"/>
  <c r="S55" i="8"/>
  <c r="R55" i="8"/>
  <c r="Q55" i="8"/>
  <c r="L55" i="8"/>
  <c r="K55" i="8"/>
  <c r="J55" i="8"/>
  <c r="E55" i="8"/>
  <c r="D55" i="8"/>
  <c r="C55" i="8"/>
  <c r="S54" i="8"/>
  <c r="R54" i="8"/>
  <c r="Q54" i="8"/>
  <c r="L54" i="8"/>
  <c r="K54" i="8"/>
  <c r="J54" i="8"/>
  <c r="E54" i="8"/>
  <c r="D54" i="8"/>
  <c r="C54" i="8"/>
  <c r="S53" i="8"/>
  <c r="R53" i="8"/>
  <c r="Q53" i="8"/>
  <c r="L53" i="8"/>
  <c r="K53" i="8"/>
  <c r="J53" i="8"/>
  <c r="E53" i="8"/>
  <c r="D53" i="8"/>
  <c r="C53" i="8"/>
  <c r="S52" i="8"/>
  <c r="R52" i="8"/>
  <c r="Q52" i="8"/>
  <c r="L52" i="8"/>
  <c r="K52" i="8"/>
  <c r="J52" i="8"/>
  <c r="E52" i="8"/>
  <c r="D52" i="8"/>
  <c r="C52" i="8"/>
  <c r="S51" i="8"/>
  <c r="R51" i="8"/>
  <c r="Q51" i="8"/>
  <c r="L51" i="8"/>
  <c r="K51" i="8"/>
  <c r="J51" i="8"/>
  <c r="E51" i="8"/>
  <c r="D51" i="8"/>
  <c r="C51" i="8"/>
  <c r="S50" i="8"/>
  <c r="R50" i="8"/>
  <c r="Q50" i="8"/>
  <c r="L50" i="8"/>
  <c r="K50" i="8"/>
  <c r="J50" i="8"/>
  <c r="E50" i="8"/>
  <c r="D50" i="8"/>
  <c r="C50" i="8"/>
  <c r="S49" i="8"/>
  <c r="R49" i="8"/>
  <c r="Q49" i="8"/>
  <c r="L49" i="8"/>
  <c r="K49" i="8"/>
  <c r="J49" i="8"/>
  <c r="E49" i="8"/>
  <c r="D49" i="8"/>
  <c r="C49" i="8"/>
  <c r="S48" i="8"/>
  <c r="R48" i="8"/>
  <c r="Q48" i="8"/>
  <c r="L48" i="8"/>
  <c r="K48" i="8"/>
  <c r="J48" i="8"/>
  <c r="E48" i="8"/>
  <c r="D48" i="8"/>
  <c r="C48" i="8"/>
  <c r="S47" i="8"/>
  <c r="R47" i="8"/>
  <c r="Q47" i="8"/>
  <c r="L47" i="8"/>
  <c r="K47" i="8"/>
  <c r="J47" i="8"/>
  <c r="E47" i="8"/>
  <c r="D47" i="8"/>
  <c r="C47" i="8"/>
  <c r="S46" i="8"/>
  <c r="R46" i="8"/>
  <c r="Q46" i="8"/>
  <c r="L46" i="8"/>
  <c r="K46" i="8"/>
  <c r="J46" i="8"/>
  <c r="E46" i="8"/>
  <c r="D46" i="8"/>
  <c r="C46" i="8"/>
  <c r="S45" i="8"/>
  <c r="R45" i="8"/>
  <c r="Q45" i="8"/>
  <c r="L45" i="8"/>
  <c r="K45" i="8"/>
  <c r="J45" i="8"/>
  <c r="E45" i="8"/>
  <c r="D45" i="8"/>
  <c r="C45" i="8"/>
  <c r="S44" i="8"/>
  <c r="R44" i="8"/>
  <c r="Q44" i="8"/>
  <c r="L44" i="8"/>
  <c r="K44" i="8"/>
  <c r="J44" i="8"/>
  <c r="E44" i="8"/>
  <c r="D44" i="8"/>
  <c r="C44" i="8"/>
  <c r="S43" i="8"/>
  <c r="R43" i="8"/>
  <c r="Q43" i="8"/>
  <c r="L43" i="8"/>
  <c r="K43" i="8"/>
  <c r="J43" i="8"/>
  <c r="E43" i="8"/>
  <c r="D43" i="8"/>
  <c r="C43" i="8"/>
  <c r="S42" i="8"/>
  <c r="R42" i="8"/>
  <c r="Q42" i="8"/>
  <c r="L42" i="8"/>
  <c r="K42" i="8"/>
  <c r="J42" i="8"/>
  <c r="E42" i="8"/>
  <c r="D42" i="8"/>
  <c r="C42" i="8"/>
  <c r="S41" i="8"/>
  <c r="R41" i="8"/>
  <c r="Q41" i="8"/>
  <c r="L41" i="8"/>
  <c r="K41" i="8"/>
  <c r="J41" i="8"/>
  <c r="E41" i="8"/>
  <c r="D41" i="8"/>
  <c r="C41" i="8"/>
  <c r="S40" i="8"/>
  <c r="R40" i="8"/>
  <c r="Q40" i="8"/>
  <c r="L40" i="8"/>
  <c r="K40" i="8"/>
  <c r="J40" i="8"/>
  <c r="E40" i="8"/>
  <c r="D40" i="8"/>
  <c r="C40" i="8"/>
  <c r="S39" i="8"/>
  <c r="R39" i="8"/>
  <c r="Q39" i="8"/>
  <c r="L39" i="8"/>
  <c r="K39" i="8"/>
  <c r="J39" i="8"/>
  <c r="E39" i="8"/>
  <c r="D39" i="8"/>
  <c r="C39" i="8"/>
  <c r="S38" i="8"/>
  <c r="R38" i="8"/>
  <c r="Q38" i="8"/>
  <c r="L38" i="8"/>
  <c r="K38" i="8"/>
  <c r="J38" i="8"/>
  <c r="E38" i="8"/>
  <c r="D38" i="8"/>
  <c r="C38" i="8"/>
  <c r="S37" i="8"/>
  <c r="R37" i="8"/>
  <c r="Q37" i="8"/>
  <c r="L37" i="8"/>
  <c r="K37" i="8"/>
  <c r="J37" i="8"/>
  <c r="E37" i="8"/>
  <c r="D37" i="8"/>
  <c r="C37" i="8"/>
  <c r="S36" i="8"/>
  <c r="R36" i="8"/>
  <c r="Q36" i="8"/>
  <c r="L36" i="8"/>
  <c r="K36" i="8"/>
  <c r="J36" i="8"/>
  <c r="E36" i="8"/>
  <c r="D36" i="8"/>
  <c r="C36" i="8"/>
  <c r="S35" i="8"/>
  <c r="R35" i="8"/>
  <c r="Q35" i="8"/>
  <c r="L35" i="8"/>
  <c r="K35" i="8"/>
  <c r="J35" i="8"/>
  <c r="E35" i="8"/>
  <c r="D35" i="8"/>
  <c r="C35" i="8"/>
  <c r="S34" i="8"/>
  <c r="R34" i="8"/>
  <c r="Q34" i="8"/>
  <c r="L34" i="8"/>
  <c r="K34" i="8"/>
  <c r="J34" i="8"/>
  <c r="E34" i="8"/>
  <c r="D34" i="8"/>
  <c r="C34" i="8"/>
  <c r="S33" i="8"/>
  <c r="R33" i="8"/>
  <c r="Q33" i="8"/>
  <c r="L33" i="8"/>
  <c r="K33" i="8"/>
  <c r="J33" i="8"/>
  <c r="E33" i="8"/>
  <c r="D33" i="8"/>
  <c r="C33" i="8"/>
  <c r="S32" i="8"/>
  <c r="R32" i="8"/>
  <c r="Q32" i="8"/>
  <c r="L32" i="8"/>
  <c r="K32" i="8"/>
  <c r="J32" i="8"/>
  <c r="E32" i="8"/>
  <c r="D32" i="8"/>
  <c r="C32" i="8"/>
  <c r="S31" i="8"/>
  <c r="R31" i="8"/>
  <c r="Q31" i="8"/>
  <c r="L31" i="8"/>
  <c r="K31" i="8"/>
  <c r="J31" i="8"/>
  <c r="E31" i="8"/>
  <c r="D31" i="8"/>
  <c r="C31" i="8"/>
  <c r="S30" i="8"/>
  <c r="R30" i="8"/>
  <c r="Q30" i="8"/>
  <c r="L30" i="8"/>
  <c r="K30" i="8"/>
  <c r="J30" i="8"/>
  <c r="E30" i="8"/>
  <c r="D30" i="8"/>
  <c r="C30" i="8"/>
  <c r="S29" i="8"/>
  <c r="R29" i="8"/>
  <c r="Q29" i="8"/>
  <c r="L29" i="8"/>
  <c r="K29" i="8"/>
  <c r="J29" i="8"/>
  <c r="E29" i="8"/>
  <c r="D29" i="8"/>
  <c r="C29" i="8"/>
  <c r="S28" i="8"/>
  <c r="R28" i="8"/>
  <c r="Q28" i="8"/>
  <c r="L28" i="8"/>
  <c r="K28" i="8"/>
  <c r="J28" i="8"/>
  <c r="E28" i="8"/>
  <c r="D28" i="8"/>
  <c r="C28" i="8"/>
  <c r="S27" i="8"/>
  <c r="R27" i="8"/>
  <c r="Q27" i="8"/>
  <c r="L27" i="8"/>
  <c r="K27" i="8"/>
  <c r="J27" i="8"/>
  <c r="E27" i="8"/>
  <c r="D27" i="8"/>
  <c r="C27" i="8"/>
  <c r="S26" i="8"/>
  <c r="R26" i="8"/>
  <c r="Q26" i="8"/>
  <c r="L26" i="8"/>
  <c r="K26" i="8"/>
  <c r="J26" i="8"/>
  <c r="E26" i="8"/>
  <c r="D26" i="8"/>
  <c r="C26" i="8"/>
  <c r="S25" i="8"/>
  <c r="R25" i="8"/>
  <c r="Q25" i="8"/>
  <c r="L25" i="8"/>
  <c r="K25" i="8"/>
  <c r="J25" i="8"/>
  <c r="E25" i="8"/>
  <c r="D25" i="8"/>
  <c r="C25" i="8"/>
  <c r="S24" i="8"/>
  <c r="R24" i="8"/>
  <c r="Q24" i="8"/>
  <c r="L24" i="8"/>
  <c r="K24" i="8"/>
  <c r="J24" i="8"/>
  <c r="E24" i="8"/>
  <c r="D24" i="8"/>
  <c r="C24" i="8"/>
  <c r="S23" i="8"/>
  <c r="R23" i="8"/>
  <c r="Q23" i="8"/>
  <c r="L23" i="8"/>
  <c r="K23" i="8"/>
  <c r="J23" i="8"/>
  <c r="E23" i="8"/>
  <c r="D23" i="8"/>
  <c r="C23" i="8"/>
  <c r="S22" i="8"/>
  <c r="R22" i="8"/>
  <c r="Q22" i="8"/>
  <c r="L22" i="8"/>
  <c r="K22" i="8"/>
  <c r="J22" i="8"/>
  <c r="E22" i="8"/>
  <c r="D22" i="8"/>
  <c r="C22" i="8"/>
  <c r="S21" i="8"/>
  <c r="R21" i="8"/>
  <c r="Q21" i="8"/>
  <c r="L21" i="8"/>
  <c r="K21" i="8"/>
  <c r="J21" i="8"/>
  <c r="E21" i="8"/>
  <c r="D21" i="8"/>
  <c r="C21" i="8"/>
  <c r="S20" i="8"/>
  <c r="R20" i="8"/>
  <c r="Q20" i="8"/>
  <c r="L20" i="8"/>
  <c r="K20" i="8"/>
  <c r="J20" i="8"/>
  <c r="E20" i="8"/>
  <c r="D20" i="8"/>
  <c r="C20" i="8"/>
  <c r="S19" i="8"/>
  <c r="R19" i="8"/>
  <c r="Q19" i="8"/>
  <c r="L19" i="8"/>
  <c r="K19" i="8"/>
  <c r="J19" i="8"/>
  <c r="E19" i="8"/>
  <c r="D19" i="8"/>
  <c r="C19" i="8"/>
  <c r="S18" i="8"/>
  <c r="R18" i="8"/>
  <c r="Q18" i="8"/>
  <c r="L18" i="8"/>
  <c r="K18" i="8"/>
  <c r="J18" i="8"/>
  <c r="E18" i="8"/>
  <c r="D18" i="8"/>
  <c r="C18" i="8"/>
  <c r="S17" i="8"/>
  <c r="R17" i="8"/>
  <c r="Q17" i="8"/>
  <c r="L17" i="8"/>
  <c r="K17" i="8"/>
  <c r="J17" i="8"/>
  <c r="E17" i="8"/>
  <c r="D17" i="8"/>
  <c r="C17" i="8"/>
  <c r="S16" i="8"/>
  <c r="R16" i="8"/>
  <c r="Q16" i="8"/>
  <c r="M16" i="8"/>
  <c r="L16" i="8"/>
  <c r="K16" i="8"/>
  <c r="J16" i="8"/>
  <c r="E16" i="8"/>
  <c r="D16" i="8"/>
  <c r="C16" i="8"/>
  <c r="S15" i="8"/>
  <c r="R15" i="8"/>
  <c r="Q15" i="8"/>
  <c r="M15" i="8"/>
  <c r="L15" i="8"/>
  <c r="K15" i="8"/>
  <c r="J15" i="8"/>
  <c r="E15" i="8"/>
  <c r="D15" i="8"/>
  <c r="C15" i="8"/>
  <c r="S14" i="8"/>
  <c r="R14" i="8"/>
  <c r="Q14" i="8"/>
  <c r="M14" i="8"/>
  <c r="L14" i="8"/>
  <c r="K14" i="8"/>
  <c r="J14" i="8"/>
  <c r="E14" i="8"/>
  <c r="D14" i="8"/>
  <c r="C14" i="8"/>
  <c r="S13" i="8"/>
  <c r="R13" i="8"/>
  <c r="Q13" i="8"/>
  <c r="M13" i="8"/>
  <c r="L13" i="8"/>
  <c r="K13" i="8"/>
  <c r="J13" i="8"/>
  <c r="E13" i="8"/>
  <c r="D13" i="8"/>
  <c r="C13" i="8"/>
  <c r="T12" i="8"/>
  <c r="S12" i="8"/>
  <c r="R12" i="8"/>
  <c r="Q12" i="8"/>
  <c r="M12" i="8"/>
  <c r="L12" i="8"/>
  <c r="K12" i="8"/>
  <c r="J12" i="8"/>
  <c r="E12" i="8"/>
  <c r="D12" i="8"/>
  <c r="C12" i="8"/>
  <c r="T11" i="8"/>
  <c r="S11" i="8"/>
  <c r="R11" i="8"/>
  <c r="Q11" i="8"/>
  <c r="M11" i="8"/>
  <c r="L11" i="8"/>
  <c r="K11" i="8"/>
  <c r="J11" i="8"/>
  <c r="E11" i="8"/>
  <c r="D11" i="8"/>
  <c r="C11" i="8"/>
  <c r="T10" i="8"/>
  <c r="S10" i="8"/>
  <c r="R10" i="8"/>
  <c r="Q10" i="8"/>
  <c r="M10" i="8"/>
  <c r="L10" i="8"/>
  <c r="K10" i="8"/>
  <c r="J10" i="8"/>
  <c r="E10" i="8"/>
  <c r="D10" i="8"/>
  <c r="C10" i="8"/>
  <c r="T9" i="8"/>
  <c r="S9" i="8"/>
  <c r="R9" i="8"/>
  <c r="Q9" i="8"/>
  <c r="M9" i="8"/>
  <c r="L9" i="8"/>
  <c r="K9" i="8"/>
  <c r="J9" i="8"/>
  <c r="E9" i="8"/>
  <c r="D9" i="8"/>
  <c r="C9" i="8"/>
  <c r="T8" i="8"/>
  <c r="S8" i="8"/>
  <c r="R8" i="8"/>
  <c r="Q8" i="8"/>
  <c r="M8" i="8"/>
  <c r="L8" i="8"/>
  <c r="K8" i="8"/>
  <c r="J8" i="8"/>
  <c r="F8" i="8"/>
  <c r="E8" i="8"/>
  <c r="D8" i="8"/>
  <c r="C8" i="8"/>
  <c r="T7" i="8"/>
  <c r="S7" i="8"/>
  <c r="R7" i="8"/>
  <c r="Q7" i="8"/>
  <c r="M7" i="8"/>
  <c r="L7" i="8"/>
  <c r="K7" i="8"/>
  <c r="J7" i="8"/>
  <c r="F7" i="8"/>
  <c r="E7" i="8"/>
  <c r="D7" i="8"/>
  <c r="C7" i="8"/>
  <c r="T6" i="8"/>
  <c r="S6" i="8"/>
  <c r="R6" i="8"/>
  <c r="Q6" i="8"/>
  <c r="M6" i="8"/>
  <c r="L6" i="8"/>
  <c r="K6" i="8"/>
  <c r="J6" i="8"/>
  <c r="F6" i="8"/>
  <c r="E6" i="8"/>
  <c r="D6" i="8"/>
  <c r="C6" i="8"/>
  <c r="T5" i="8"/>
  <c r="S5" i="8"/>
  <c r="R5" i="8"/>
  <c r="Q5" i="8"/>
  <c r="M5" i="8"/>
  <c r="L5" i="8"/>
  <c r="K5" i="8"/>
  <c r="J5" i="8"/>
  <c r="F5" i="8"/>
  <c r="E5" i="8"/>
  <c r="D5" i="8"/>
  <c r="C5" i="8"/>
  <c r="T4" i="8"/>
  <c r="S4" i="8"/>
  <c r="R4" i="8"/>
  <c r="Q4" i="8"/>
  <c r="M4" i="8"/>
  <c r="L4" i="8"/>
  <c r="K4" i="8"/>
  <c r="J4" i="8"/>
  <c r="F4" i="8"/>
  <c r="E4" i="8"/>
  <c r="D4" i="8"/>
  <c r="C4" i="8"/>
  <c r="Q3" i="8"/>
  <c r="J3" i="8"/>
  <c r="C3" i="8"/>
  <c r="E120" i="7"/>
  <c r="D120" i="7"/>
  <c r="C120" i="7"/>
  <c r="E119" i="7"/>
  <c r="D119" i="7"/>
  <c r="C119" i="7"/>
  <c r="E118" i="7"/>
  <c r="D118" i="7"/>
  <c r="C118" i="7"/>
  <c r="E117" i="7"/>
  <c r="D117" i="7"/>
  <c r="C117" i="7"/>
  <c r="E116" i="7"/>
  <c r="D116" i="7"/>
  <c r="C116" i="7"/>
  <c r="E115" i="7"/>
  <c r="D115" i="7"/>
  <c r="C115" i="7"/>
  <c r="E114" i="7"/>
  <c r="D114" i="7"/>
  <c r="C114" i="7"/>
  <c r="E113" i="7"/>
  <c r="D113" i="7"/>
  <c r="C113" i="7"/>
  <c r="E112" i="7"/>
  <c r="D112" i="7"/>
  <c r="C112" i="7"/>
  <c r="E111" i="7"/>
  <c r="D111" i="7"/>
  <c r="C111" i="7"/>
  <c r="E110" i="7"/>
  <c r="D110" i="7"/>
  <c r="C110" i="7"/>
  <c r="E109" i="7"/>
  <c r="D109" i="7"/>
  <c r="C109" i="7"/>
  <c r="E108" i="7"/>
  <c r="D108" i="7"/>
  <c r="C108" i="7"/>
  <c r="E107" i="7"/>
  <c r="D107" i="7"/>
  <c r="C107" i="7"/>
  <c r="E106" i="7"/>
  <c r="D106" i="7"/>
  <c r="C106" i="7"/>
  <c r="E105" i="7"/>
  <c r="D105" i="7"/>
  <c r="C105" i="7"/>
  <c r="E104" i="7"/>
  <c r="D104" i="7"/>
  <c r="C104" i="7"/>
  <c r="E103" i="7"/>
  <c r="D103" i="7"/>
  <c r="C103" i="7"/>
  <c r="E102" i="7"/>
  <c r="D102" i="7"/>
  <c r="C102" i="7"/>
  <c r="E101" i="7"/>
  <c r="D101" i="7"/>
  <c r="C101" i="7"/>
  <c r="E100" i="7"/>
  <c r="D100" i="7"/>
  <c r="C100" i="7"/>
  <c r="E99" i="7"/>
  <c r="D99" i="7"/>
  <c r="C99" i="7"/>
  <c r="E98" i="7"/>
  <c r="D98" i="7"/>
  <c r="C98" i="7"/>
  <c r="E97" i="7"/>
  <c r="D97" i="7"/>
  <c r="C97" i="7"/>
  <c r="E96" i="7"/>
  <c r="D96" i="7"/>
  <c r="C96" i="7"/>
  <c r="E95" i="7"/>
  <c r="D95" i="7"/>
  <c r="C95" i="7"/>
  <c r="E94" i="7"/>
  <c r="D94" i="7"/>
  <c r="C94" i="7"/>
  <c r="E93" i="7"/>
  <c r="D93" i="7"/>
  <c r="C93" i="7"/>
  <c r="E92" i="7"/>
  <c r="D92" i="7"/>
  <c r="C92" i="7"/>
  <c r="E91" i="7"/>
  <c r="D91" i="7"/>
  <c r="C91" i="7"/>
  <c r="E90" i="7"/>
  <c r="D90" i="7"/>
  <c r="C90" i="7"/>
  <c r="E89" i="7"/>
  <c r="D89" i="7"/>
  <c r="C89" i="7"/>
  <c r="E88" i="7"/>
  <c r="D88" i="7"/>
  <c r="C88" i="7"/>
  <c r="E87" i="7"/>
  <c r="D87" i="7"/>
  <c r="C87" i="7"/>
  <c r="E86" i="7"/>
  <c r="D86" i="7"/>
  <c r="C86" i="7"/>
  <c r="E85" i="7"/>
  <c r="D85" i="7"/>
  <c r="C85" i="7"/>
  <c r="E84" i="7"/>
  <c r="D84" i="7"/>
  <c r="C84" i="7"/>
  <c r="E83" i="7"/>
  <c r="D83" i="7"/>
  <c r="C83" i="7"/>
  <c r="E82" i="7"/>
  <c r="D82" i="7"/>
  <c r="C82" i="7"/>
  <c r="E81" i="7"/>
  <c r="D81" i="7"/>
  <c r="C81" i="7"/>
  <c r="E80" i="7"/>
  <c r="D80" i="7"/>
  <c r="C80" i="7"/>
  <c r="E79" i="7"/>
  <c r="D79" i="7"/>
  <c r="C79" i="7"/>
  <c r="E78" i="7"/>
  <c r="D78" i="7"/>
  <c r="C78" i="7"/>
  <c r="E77" i="7"/>
  <c r="D77" i="7"/>
  <c r="C77" i="7"/>
  <c r="E76" i="7"/>
  <c r="D76" i="7"/>
  <c r="C76" i="7"/>
  <c r="E75" i="7"/>
  <c r="D75" i="7"/>
  <c r="C75" i="7"/>
  <c r="E74" i="7"/>
  <c r="D74" i="7"/>
  <c r="C74" i="7"/>
  <c r="E73" i="7"/>
  <c r="D73" i="7"/>
  <c r="C73" i="7"/>
  <c r="E72" i="7"/>
  <c r="D72" i="7"/>
  <c r="C72" i="7"/>
  <c r="E71" i="7"/>
  <c r="D71" i="7"/>
  <c r="C71" i="7"/>
  <c r="E70" i="7"/>
  <c r="D70" i="7"/>
  <c r="C70" i="7"/>
  <c r="E69" i="7"/>
  <c r="D69" i="7"/>
  <c r="C69" i="7"/>
  <c r="E68" i="7"/>
  <c r="D68" i="7"/>
  <c r="C68" i="7"/>
  <c r="E67" i="7"/>
  <c r="D67" i="7"/>
  <c r="C67" i="7"/>
  <c r="E66" i="7"/>
  <c r="D66" i="7"/>
  <c r="C66" i="7"/>
  <c r="E65" i="7"/>
  <c r="D65" i="7"/>
  <c r="C65" i="7"/>
  <c r="E64" i="7"/>
  <c r="D64" i="7"/>
  <c r="C64" i="7"/>
  <c r="E63" i="7"/>
  <c r="D63" i="7"/>
  <c r="C63" i="7"/>
  <c r="E62" i="7"/>
  <c r="D62" i="7"/>
  <c r="C62" i="7"/>
  <c r="E61" i="7"/>
  <c r="D61" i="7"/>
  <c r="C61" i="7"/>
  <c r="E60" i="7"/>
  <c r="D60" i="7"/>
  <c r="C60" i="7"/>
  <c r="E59" i="7"/>
  <c r="D59" i="7"/>
  <c r="C59" i="7"/>
  <c r="E58" i="7"/>
  <c r="D58" i="7"/>
  <c r="C58" i="7"/>
  <c r="E57" i="7"/>
  <c r="D57" i="7"/>
  <c r="C57" i="7"/>
  <c r="E56" i="7"/>
  <c r="D56" i="7"/>
  <c r="C56" i="7"/>
  <c r="E55" i="7"/>
  <c r="D55" i="7"/>
  <c r="C55" i="7"/>
  <c r="E54" i="7"/>
  <c r="D54" i="7"/>
  <c r="C54" i="7"/>
  <c r="E53" i="7"/>
  <c r="D53" i="7"/>
  <c r="C53" i="7"/>
  <c r="L52" i="7"/>
  <c r="K52" i="7"/>
  <c r="J52" i="7"/>
  <c r="E52" i="7"/>
  <c r="D52" i="7"/>
  <c r="C52" i="7"/>
  <c r="L51" i="7"/>
  <c r="K51" i="7"/>
  <c r="J51" i="7"/>
  <c r="E51" i="7"/>
  <c r="D51" i="7"/>
  <c r="C51" i="7"/>
  <c r="L50" i="7"/>
  <c r="K50" i="7"/>
  <c r="J50" i="7"/>
  <c r="E50" i="7"/>
  <c r="D50" i="7"/>
  <c r="C50" i="7"/>
  <c r="L49" i="7"/>
  <c r="K49" i="7"/>
  <c r="J49" i="7"/>
  <c r="E49" i="7"/>
  <c r="D49" i="7"/>
  <c r="C49" i="7"/>
  <c r="L48" i="7"/>
  <c r="K48" i="7"/>
  <c r="J48" i="7"/>
  <c r="E48" i="7"/>
  <c r="D48" i="7"/>
  <c r="C48" i="7"/>
  <c r="L47" i="7"/>
  <c r="K47" i="7"/>
  <c r="J47" i="7"/>
  <c r="E47" i="7"/>
  <c r="D47" i="7"/>
  <c r="C47" i="7"/>
  <c r="L46" i="7"/>
  <c r="K46" i="7"/>
  <c r="J46" i="7"/>
  <c r="E46" i="7"/>
  <c r="D46" i="7"/>
  <c r="C46" i="7"/>
  <c r="L45" i="7"/>
  <c r="K45" i="7"/>
  <c r="J45" i="7"/>
  <c r="E45" i="7"/>
  <c r="D45" i="7"/>
  <c r="C45" i="7"/>
  <c r="L44" i="7"/>
  <c r="K44" i="7"/>
  <c r="J44" i="7"/>
  <c r="E44" i="7"/>
  <c r="D44" i="7"/>
  <c r="C44" i="7"/>
  <c r="L43" i="7"/>
  <c r="K43" i="7"/>
  <c r="J43" i="7"/>
  <c r="E43" i="7"/>
  <c r="D43" i="7"/>
  <c r="C43" i="7"/>
  <c r="S42" i="7"/>
  <c r="R42" i="7"/>
  <c r="Q42" i="7"/>
  <c r="L42" i="7"/>
  <c r="K42" i="7"/>
  <c r="J42" i="7"/>
  <c r="E42" i="7"/>
  <c r="D42" i="7"/>
  <c r="C42" i="7"/>
  <c r="S41" i="7"/>
  <c r="R41" i="7"/>
  <c r="Q41" i="7"/>
  <c r="L41" i="7"/>
  <c r="K41" i="7"/>
  <c r="J41" i="7"/>
  <c r="E41" i="7"/>
  <c r="D41" i="7"/>
  <c r="C41" i="7"/>
  <c r="S40" i="7"/>
  <c r="R40" i="7"/>
  <c r="Q40" i="7"/>
  <c r="L40" i="7"/>
  <c r="K40" i="7"/>
  <c r="J40" i="7"/>
  <c r="E40" i="7"/>
  <c r="D40" i="7"/>
  <c r="C40" i="7"/>
  <c r="S39" i="7"/>
  <c r="R39" i="7"/>
  <c r="Q39" i="7"/>
  <c r="L39" i="7"/>
  <c r="K39" i="7"/>
  <c r="J39" i="7"/>
  <c r="E39" i="7"/>
  <c r="D39" i="7"/>
  <c r="C39" i="7"/>
  <c r="S38" i="7"/>
  <c r="R38" i="7"/>
  <c r="Q38" i="7"/>
  <c r="L38" i="7"/>
  <c r="K38" i="7"/>
  <c r="J38" i="7"/>
  <c r="E38" i="7"/>
  <c r="D38" i="7"/>
  <c r="C38" i="7"/>
  <c r="S37" i="7"/>
  <c r="R37" i="7"/>
  <c r="Q37" i="7"/>
  <c r="L37" i="7"/>
  <c r="K37" i="7"/>
  <c r="J37" i="7"/>
  <c r="E37" i="7"/>
  <c r="D37" i="7"/>
  <c r="C37" i="7"/>
  <c r="S36" i="7"/>
  <c r="R36" i="7"/>
  <c r="Q36" i="7"/>
  <c r="L36" i="7"/>
  <c r="K36" i="7"/>
  <c r="J36" i="7"/>
  <c r="E36" i="7"/>
  <c r="D36" i="7"/>
  <c r="C36" i="7"/>
  <c r="S35" i="7"/>
  <c r="R35" i="7"/>
  <c r="Q35" i="7"/>
  <c r="L35" i="7"/>
  <c r="K35" i="7"/>
  <c r="J35" i="7"/>
  <c r="E35" i="7"/>
  <c r="D35" i="7"/>
  <c r="C35" i="7"/>
  <c r="S34" i="7"/>
  <c r="R34" i="7"/>
  <c r="Q34" i="7"/>
  <c r="L34" i="7"/>
  <c r="K34" i="7"/>
  <c r="J34" i="7"/>
  <c r="E34" i="7"/>
  <c r="D34" i="7"/>
  <c r="C34" i="7"/>
  <c r="S33" i="7"/>
  <c r="R33" i="7"/>
  <c r="Q33" i="7"/>
  <c r="L33" i="7"/>
  <c r="K33" i="7"/>
  <c r="J33" i="7"/>
  <c r="E33" i="7"/>
  <c r="D33" i="7"/>
  <c r="C33" i="7"/>
  <c r="S32" i="7"/>
  <c r="R32" i="7"/>
  <c r="Q32" i="7"/>
  <c r="L32" i="7"/>
  <c r="K32" i="7"/>
  <c r="J32" i="7"/>
  <c r="E32" i="7"/>
  <c r="D32" i="7"/>
  <c r="C32" i="7"/>
  <c r="S31" i="7"/>
  <c r="R31" i="7"/>
  <c r="Q31" i="7"/>
  <c r="L31" i="7"/>
  <c r="K31" i="7"/>
  <c r="J31" i="7"/>
  <c r="E31" i="7"/>
  <c r="D31" i="7"/>
  <c r="C31" i="7"/>
  <c r="S30" i="7"/>
  <c r="R30" i="7"/>
  <c r="Q30" i="7"/>
  <c r="L30" i="7"/>
  <c r="K30" i="7"/>
  <c r="J30" i="7"/>
  <c r="E30" i="7"/>
  <c r="D30" i="7"/>
  <c r="C30" i="7"/>
  <c r="S29" i="7"/>
  <c r="R29" i="7"/>
  <c r="Q29" i="7"/>
  <c r="L29" i="7"/>
  <c r="K29" i="7"/>
  <c r="J29" i="7"/>
  <c r="E29" i="7"/>
  <c r="D29" i="7"/>
  <c r="C29" i="7"/>
  <c r="S28" i="7"/>
  <c r="R28" i="7"/>
  <c r="Q28" i="7"/>
  <c r="L28" i="7"/>
  <c r="K28" i="7"/>
  <c r="J28" i="7"/>
  <c r="E28" i="7"/>
  <c r="D28" i="7"/>
  <c r="C28" i="7"/>
  <c r="S27" i="7"/>
  <c r="R27" i="7"/>
  <c r="Q27" i="7"/>
  <c r="L27" i="7"/>
  <c r="K27" i="7"/>
  <c r="J27" i="7"/>
  <c r="E27" i="7"/>
  <c r="D27" i="7"/>
  <c r="C27" i="7"/>
  <c r="S26" i="7"/>
  <c r="R26" i="7"/>
  <c r="Q26" i="7"/>
  <c r="L26" i="7"/>
  <c r="K26" i="7"/>
  <c r="J26" i="7"/>
  <c r="E26" i="7"/>
  <c r="D26" i="7"/>
  <c r="C26" i="7"/>
  <c r="S25" i="7"/>
  <c r="R25" i="7"/>
  <c r="Q25" i="7"/>
  <c r="L25" i="7"/>
  <c r="K25" i="7"/>
  <c r="J25" i="7"/>
  <c r="E25" i="7"/>
  <c r="D25" i="7"/>
  <c r="C25" i="7"/>
  <c r="S24" i="7"/>
  <c r="R24" i="7"/>
  <c r="Q24" i="7"/>
  <c r="L24" i="7"/>
  <c r="K24" i="7"/>
  <c r="J24" i="7"/>
  <c r="E24" i="7"/>
  <c r="D24" i="7"/>
  <c r="C24" i="7"/>
  <c r="S23" i="7"/>
  <c r="R23" i="7"/>
  <c r="Q23" i="7"/>
  <c r="L23" i="7"/>
  <c r="K23" i="7"/>
  <c r="J23" i="7"/>
  <c r="E23" i="7"/>
  <c r="D23" i="7"/>
  <c r="C23" i="7"/>
  <c r="S22" i="7"/>
  <c r="R22" i="7"/>
  <c r="Q22" i="7"/>
  <c r="L22" i="7"/>
  <c r="K22" i="7"/>
  <c r="J22" i="7"/>
  <c r="E22" i="7"/>
  <c r="D22" i="7"/>
  <c r="C22" i="7"/>
  <c r="S21" i="7"/>
  <c r="R21" i="7"/>
  <c r="Q21" i="7"/>
  <c r="L21" i="7"/>
  <c r="K21" i="7"/>
  <c r="J21" i="7"/>
  <c r="E21" i="7"/>
  <c r="D21" i="7"/>
  <c r="C21" i="7"/>
  <c r="S20" i="7"/>
  <c r="R20" i="7"/>
  <c r="Q20" i="7"/>
  <c r="L20" i="7"/>
  <c r="K20" i="7"/>
  <c r="J20" i="7"/>
  <c r="E20" i="7"/>
  <c r="D20" i="7"/>
  <c r="C20" i="7"/>
  <c r="S19" i="7"/>
  <c r="R19" i="7"/>
  <c r="Q19" i="7"/>
  <c r="L19" i="7"/>
  <c r="K19" i="7"/>
  <c r="J19" i="7"/>
  <c r="E19" i="7"/>
  <c r="D19" i="7"/>
  <c r="C19" i="7"/>
  <c r="S18" i="7"/>
  <c r="R18" i="7"/>
  <c r="Q18" i="7"/>
  <c r="L18" i="7"/>
  <c r="K18" i="7"/>
  <c r="J18" i="7"/>
  <c r="F18" i="7"/>
  <c r="E18" i="7"/>
  <c r="D18" i="7"/>
  <c r="C18" i="7"/>
  <c r="S17" i="7"/>
  <c r="R17" i="7"/>
  <c r="Q17" i="7"/>
  <c r="L17" i="7"/>
  <c r="K17" i="7"/>
  <c r="J17" i="7"/>
  <c r="F17" i="7"/>
  <c r="E17" i="7"/>
  <c r="D17" i="7"/>
  <c r="C17" i="7"/>
  <c r="S16" i="7"/>
  <c r="R16" i="7"/>
  <c r="Q16" i="7"/>
  <c r="L16" i="7"/>
  <c r="K16" i="7"/>
  <c r="J16" i="7"/>
  <c r="F16" i="7"/>
  <c r="E16" i="7"/>
  <c r="D16" i="7"/>
  <c r="C16" i="7"/>
  <c r="S15" i="7"/>
  <c r="R15" i="7"/>
  <c r="Q15" i="7"/>
  <c r="L15" i="7"/>
  <c r="K15" i="7"/>
  <c r="J15" i="7"/>
  <c r="F15" i="7"/>
  <c r="E15" i="7"/>
  <c r="D15" i="7"/>
  <c r="C15" i="7"/>
  <c r="S14" i="7"/>
  <c r="R14" i="7"/>
  <c r="Q14" i="7"/>
  <c r="L14" i="7"/>
  <c r="K14" i="7"/>
  <c r="J14" i="7"/>
  <c r="F14" i="7"/>
  <c r="E14" i="7"/>
  <c r="D14" i="7"/>
  <c r="C14" i="7"/>
  <c r="S13" i="7"/>
  <c r="R13" i="7"/>
  <c r="Q13" i="7"/>
  <c r="L13" i="7"/>
  <c r="K13" i="7"/>
  <c r="J13" i="7"/>
  <c r="F13" i="7"/>
  <c r="E13" i="7"/>
  <c r="D13" i="7"/>
  <c r="C13" i="7"/>
  <c r="S12" i="7"/>
  <c r="R12" i="7"/>
  <c r="Q12" i="7"/>
  <c r="L12" i="7"/>
  <c r="K12" i="7"/>
  <c r="J12" i="7"/>
  <c r="F12" i="7"/>
  <c r="E12" i="7"/>
  <c r="D12" i="7"/>
  <c r="C12" i="7"/>
  <c r="S11" i="7"/>
  <c r="R11" i="7"/>
  <c r="Q11" i="7"/>
  <c r="M11" i="7"/>
  <c r="L11" i="7"/>
  <c r="K11" i="7"/>
  <c r="J11" i="7"/>
  <c r="F11" i="7"/>
  <c r="E11" i="7"/>
  <c r="D11" i="7"/>
  <c r="C11" i="7"/>
  <c r="S10" i="7"/>
  <c r="R10" i="7"/>
  <c r="Q10" i="7"/>
  <c r="M10" i="7"/>
  <c r="L10" i="7"/>
  <c r="K10" i="7"/>
  <c r="J10" i="7"/>
  <c r="F10" i="7"/>
  <c r="E10" i="7"/>
  <c r="D10" i="7"/>
  <c r="C10" i="7"/>
  <c r="S9" i="7"/>
  <c r="R9" i="7"/>
  <c r="Q9" i="7"/>
  <c r="M9" i="7"/>
  <c r="L9" i="7"/>
  <c r="K9" i="7"/>
  <c r="J9" i="7"/>
  <c r="F9" i="7"/>
  <c r="E9" i="7"/>
  <c r="D9" i="7"/>
  <c r="C9" i="7"/>
  <c r="T8" i="7"/>
  <c r="S8" i="7"/>
  <c r="R8" i="7"/>
  <c r="Q8" i="7"/>
  <c r="M8" i="7"/>
  <c r="L8" i="7"/>
  <c r="K8" i="7"/>
  <c r="J8" i="7"/>
  <c r="F8" i="7"/>
  <c r="E8" i="7"/>
  <c r="D8" i="7"/>
  <c r="C8" i="7"/>
  <c r="T7" i="7"/>
  <c r="S7" i="7"/>
  <c r="R7" i="7"/>
  <c r="Q7" i="7"/>
  <c r="M7" i="7"/>
  <c r="L7" i="7"/>
  <c r="K7" i="7"/>
  <c r="J7" i="7"/>
  <c r="F7" i="7"/>
  <c r="E7" i="7"/>
  <c r="D7" i="7"/>
  <c r="C7" i="7"/>
  <c r="T6" i="7"/>
  <c r="S6" i="7"/>
  <c r="R6" i="7"/>
  <c r="Q6" i="7"/>
  <c r="M6" i="7"/>
  <c r="L6" i="7"/>
  <c r="K6" i="7"/>
  <c r="J6" i="7"/>
  <c r="F6" i="7"/>
  <c r="E6" i="7"/>
  <c r="D6" i="7"/>
  <c r="C6" i="7"/>
  <c r="T5" i="7"/>
  <c r="S5" i="7"/>
  <c r="R5" i="7"/>
  <c r="Q5" i="7"/>
  <c r="M5" i="7"/>
  <c r="L5" i="7"/>
  <c r="K5" i="7"/>
  <c r="J5" i="7"/>
  <c r="F5" i="7"/>
  <c r="E5" i="7"/>
  <c r="D5" i="7"/>
  <c r="C5" i="7"/>
  <c r="T4" i="7"/>
  <c r="S4" i="7"/>
  <c r="R4" i="7"/>
  <c r="Q4" i="7"/>
  <c r="M4" i="7"/>
  <c r="L4" i="7"/>
  <c r="K4" i="7"/>
  <c r="J4" i="7"/>
  <c r="F4" i="7"/>
  <c r="E4" i="7"/>
  <c r="D4" i="7"/>
  <c r="C4" i="7"/>
  <c r="Q3" i="7"/>
  <c r="J3" i="7"/>
  <c r="C3" i="7"/>
  <c r="L79" i="6"/>
  <c r="K79" i="6"/>
  <c r="J79" i="6"/>
  <c r="L78" i="6"/>
  <c r="K78" i="6"/>
  <c r="J78" i="6"/>
  <c r="L77" i="6"/>
  <c r="K77" i="6"/>
  <c r="J77" i="6"/>
  <c r="L76" i="6"/>
  <c r="K76" i="6"/>
  <c r="J76" i="6"/>
  <c r="L75" i="6"/>
  <c r="K75" i="6"/>
  <c r="J75" i="6"/>
  <c r="L74" i="6"/>
  <c r="K74" i="6"/>
  <c r="J74" i="6"/>
  <c r="L73" i="6"/>
  <c r="K73" i="6"/>
  <c r="J73" i="6"/>
  <c r="L72" i="6"/>
  <c r="K72" i="6"/>
  <c r="J72" i="6"/>
  <c r="L71" i="6"/>
  <c r="K71" i="6"/>
  <c r="J71" i="6"/>
  <c r="L70" i="6"/>
  <c r="K70" i="6"/>
  <c r="J70" i="6"/>
  <c r="L69" i="6"/>
  <c r="K69" i="6"/>
  <c r="J69" i="6"/>
  <c r="L68" i="6"/>
  <c r="K68" i="6"/>
  <c r="J68" i="6"/>
  <c r="L67" i="6"/>
  <c r="K67" i="6"/>
  <c r="J67" i="6"/>
  <c r="L66" i="6"/>
  <c r="K66" i="6"/>
  <c r="J66" i="6"/>
  <c r="L65" i="6"/>
  <c r="K65" i="6"/>
  <c r="J65" i="6"/>
  <c r="L64" i="6"/>
  <c r="K64" i="6"/>
  <c r="J64" i="6"/>
  <c r="L63" i="6"/>
  <c r="K63" i="6"/>
  <c r="J63" i="6"/>
  <c r="L62" i="6"/>
  <c r="K62" i="6"/>
  <c r="J62" i="6"/>
  <c r="L61" i="6"/>
  <c r="K61" i="6"/>
  <c r="J61" i="6"/>
  <c r="L60" i="6"/>
  <c r="K60" i="6"/>
  <c r="J60" i="6"/>
  <c r="L59" i="6"/>
  <c r="K59" i="6"/>
  <c r="J59" i="6"/>
  <c r="L58" i="6"/>
  <c r="K58" i="6"/>
  <c r="J58" i="6"/>
  <c r="L57" i="6"/>
  <c r="K57" i="6"/>
  <c r="J57" i="6"/>
  <c r="E57" i="6"/>
  <c r="D57" i="6"/>
  <c r="C57" i="6"/>
  <c r="L56" i="6"/>
  <c r="K56" i="6"/>
  <c r="J56" i="6"/>
  <c r="E56" i="6"/>
  <c r="D56" i="6"/>
  <c r="C56" i="6"/>
  <c r="L55" i="6"/>
  <c r="K55" i="6"/>
  <c r="J55" i="6"/>
  <c r="E55" i="6"/>
  <c r="D55" i="6"/>
  <c r="C55" i="6"/>
  <c r="L54" i="6"/>
  <c r="K54" i="6"/>
  <c r="J54" i="6"/>
  <c r="E54" i="6"/>
  <c r="D54" i="6"/>
  <c r="C54" i="6"/>
  <c r="L53" i="6"/>
  <c r="K53" i="6"/>
  <c r="J53" i="6"/>
  <c r="E53" i="6"/>
  <c r="D53" i="6"/>
  <c r="C53" i="6"/>
  <c r="L52" i="6"/>
  <c r="K52" i="6"/>
  <c r="J52" i="6"/>
  <c r="E52" i="6"/>
  <c r="D52" i="6"/>
  <c r="C52" i="6"/>
  <c r="L51" i="6"/>
  <c r="K51" i="6"/>
  <c r="J51" i="6"/>
  <c r="E51" i="6"/>
  <c r="D51" i="6"/>
  <c r="C51" i="6"/>
  <c r="L50" i="6"/>
  <c r="K50" i="6"/>
  <c r="J50" i="6"/>
  <c r="E50" i="6"/>
  <c r="D50" i="6"/>
  <c r="C50" i="6"/>
  <c r="L49" i="6"/>
  <c r="K49" i="6"/>
  <c r="J49" i="6"/>
  <c r="E49" i="6"/>
  <c r="D49" i="6"/>
  <c r="C49" i="6"/>
  <c r="L48" i="6"/>
  <c r="K48" i="6"/>
  <c r="J48" i="6"/>
  <c r="E48" i="6"/>
  <c r="D48" i="6"/>
  <c r="C48" i="6"/>
  <c r="L47" i="6"/>
  <c r="K47" i="6"/>
  <c r="J47" i="6"/>
  <c r="E47" i="6"/>
  <c r="D47" i="6"/>
  <c r="C47" i="6"/>
  <c r="L46" i="6"/>
  <c r="K46" i="6"/>
  <c r="J46" i="6"/>
  <c r="E46" i="6"/>
  <c r="D46" i="6"/>
  <c r="C46" i="6"/>
  <c r="L45" i="6"/>
  <c r="K45" i="6"/>
  <c r="J45" i="6"/>
  <c r="E45" i="6"/>
  <c r="D45" i="6"/>
  <c r="C45" i="6"/>
  <c r="L44" i="6"/>
  <c r="K44" i="6"/>
  <c r="J44" i="6"/>
  <c r="E44" i="6"/>
  <c r="D44" i="6"/>
  <c r="C44" i="6"/>
  <c r="L43" i="6"/>
  <c r="K43" i="6"/>
  <c r="J43" i="6"/>
  <c r="E43" i="6"/>
  <c r="D43" i="6"/>
  <c r="C43" i="6"/>
  <c r="L42" i="6"/>
  <c r="K42" i="6"/>
  <c r="J42" i="6"/>
  <c r="E42" i="6"/>
  <c r="D42" i="6"/>
  <c r="C42" i="6"/>
  <c r="L41" i="6"/>
  <c r="K41" i="6"/>
  <c r="J41" i="6"/>
  <c r="E41" i="6"/>
  <c r="D41" i="6"/>
  <c r="C41" i="6"/>
  <c r="L40" i="6"/>
  <c r="K40" i="6"/>
  <c r="J40" i="6"/>
  <c r="E40" i="6"/>
  <c r="D40" i="6"/>
  <c r="C40" i="6"/>
  <c r="L39" i="6"/>
  <c r="K39" i="6"/>
  <c r="J39" i="6"/>
  <c r="E39" i="6"/>
  <c r="D39" i="6"/>
  <c r="C39" i="6"/>
  <c r="L38" i="6"/>
  <c r="K38" i="6"/>
  <c r="J38" i="6"/>
  <c r="E38" i="6"/>
  <c r="D38" i="6"/>
  <c r="C38" i="6"/>
  <c r="L37" i="6"/>
  <c r="K37" i="6"/>
  <c r="J37" i="6"/>
  <c r="E37" i="6"/>
  <c r="D37" i="6"/>
  <c r="C37" i="6"/>
  <c r="S36" i="6"/>
  <c r="R36" i="6"/>
  <c r="Q36" i="6"/>
  <c r="L36" i="6"/>
  <c r="K36" i="6"/>
  <c r="J36" i="6"/>
  <c r="E36" i="6"/>
  <c r="D36" i="6"/>
  <c r="C36" i="6"/>
  <c r="S35" i="6"/>
  <c r="R35" i="6"/>
  <c r="Q35" i="6"/>
  <c r="L35" i="6"/>
  <c r="K35" i="6"/>
  <c r="J35" i="6"/>
  <c r="E35" i="6"/>
  <c r="D35" i="6"/>
  <c r="C35" i="6"/>
  <c r="S34" i="6"/>
  <c r="R34" i="6"/>
  <c r="Q34" i="6"/>
  <c r="L34" i="6"/>
  <c r="K34" i="6"/>
  <c r="J34" i="6"/>
  <c r="E34" i="6"/>
  <c r="D34" i="6"/>
  <c r="C34" i="6"/>
  <c r="S33" i="6"/>
  <c r="R33" i="6"/>
  <c r="Q33" i="6"/>
  <c r="L33" i="6"/>
  <c r="K33" i="6"/>
  <c r="J33" i="6"/>
  <c r="E33" i="6"/>
  <c r="D33" i="6"/>
  <c r="C33" i="6"/>
  <c r="S32" i="6"/>
  <c r="R32" i="6"/>
  <c r="Q32" i="6"/>
  <c r="L32" i="6"/>
  <c r="K32" i="6"/>
  <c r="J32" i="6"/>
  <c r="E32" i="6"/>
  <c r="D32" i="6"/>
  <c r="C32" i="6"/>
  <c r="S31" i="6"/>
  <c r="R31" i="6"/>
  <c r="Q31" i="6"/>
  <c r="L31" i="6"/>
  <c r="K31" i="6"/>
  <c r="J31" i="6"/>
  <c r="E31" i="6"/>
  <c r="D31" i="6"/>
  <c r="C31" i="6"/>
  <c r="S30" i="6"/>
  <c r="R30" i="6"/>
  <c r="Q30" i="6"/>
  <c r="L30" i="6"/>
  <c r="K30" i="6"/>
  <c r="J30" i="6"/>
  <c r="E30" i="6"/>
  <c r="D30" i="6"/>
  <c r="C30" i="6"/>
  <c r="S29" i="6"/>
  <c r="R29" i="6"/>
  <c r="Q29" i="6"/>
  <c r="L29" i="6"/>
  <c r="K29" i="6"/>
  <c r="J29" i="6"/>
  <c r="E29" i="6"/>
  <c r="D29" i="6"/>
  <c r="C29" i="6"/>
  <c r="S28" i="6"/>
  <c r="R28" i="6"/>
  <c r="Q28" i="6"/>
  <c r="L28" i="6"/>
  <c r="K28" i="6"/>
  <c r="J28" i="6"/>
  <c r="E28" i="6"/>
  <c r="D28" i="6"/>
  <c r="C28" i="6"/>
  <c r="S27" i="6"/>
  <c r="R27" i="6"/>
  <c r="Q27" i="6"/>
  <c r="L27" i="6"/>
  <c r="K27" i="6"/>
  <c r="J27" i="6"/>
  <c r="E27" i="6"/>
  <c r="D27" i="6"/>
  <c r="C27" i="6"/>
  <c r="S26" i="6"/>
  <c r="R26" i="6"/>
  <c r="Q26" i="6"/>
  <c r="L26" i="6"/>
  <c r="K26" i="6"/>
  <c r="J26" i="6"/>
  <c r="E26" i="6"/>
  <c r="D26" i="6"/>
  <c r="C26" i="6"/>
  <c r="S25" i="6"/>
  <c r="R25" i="6"/>
  <c r="Q25" i="6"/>
  <c r="L25" i="6"/>
  <c r="K25" i="6"/>
  <c r="J25" i="6"/>
  <c r="E25" i="6"/>
  <c r="D25" i="6"/>
  <c r="C25" i="6"/>
  <c r="S24" i="6"/>
  <c r="R24" i="6"/>
  <c r="Q24" i="6"/>
  <c r="L24" i="6"/>
  <c r="K24" i="6"/>
  <c r="J24" i="6"/>
  <c r="E24" i="6"/>
  <c r="D24" i="6"/>
  <c r="C24" i="6"/>
  <c r="S23" i="6"/>
  <c r="R23" i="6"/>
  <c r="Q23" i="6"/>
  <c r="L23" i="6"/>
  <c r="K23" i="6"/>
  <c r="J23" i="6"/>
  <c r="E23" i="6"/>
  <c r="D23" i="6"/>
  <c r="C23" i="6"/>
  <c r="S22" i="6"/>
  <c r="R22" i="6"/>
  <c r="Q22" i="6"/>
  <c r="L22" i="6"/>
  <c r="K22" i="6"/>
  <c r="J22" i="6"/>
  <c r="E22" i="6"/>
  <c r="D22" i="6"/>
  <c r="C22" i="6"/>
  <c r="S21" i="6"/>
  <c r="R21" i="6"/>
  <c r="Q21" i="6"/>
  <c r="L21" i="6"/>
  <c r="K21" i="6"/>
  <c r="J21" i="6"/>
  <c r="E21" i="6"/>
  <c r="D21" i="6"/>
  <c r="C21" i="6"/>
  <c r="S20" i="6"/>
  <c r="R20" i="6"/>
  <c r="Q20" i="6"/>
  <c r="L20" i="6"/>
  <c r="K20" i="6"/>
  <c r="J20" i="6"/>
  <c r="E20" i="6"/>
  <c r="D20" i="6"/>
  <c r="C20" i="6"/>
  <c r="S19" i="6"/>
  <c r="R19" i="6"/>
  <c r="Q19" i="6"/>
  <c r="L19" i="6"/>
  <c r="K19" i="6"/>
  <c r="J19" i="6"/>
  <c r="E19" i="6"/>
  <c r="D19" i="6"/>
  <c r="C19" i="6"/>
  <c r="S18" i="6"/>
  <c r="R18" i="6"/>
  <c r="Q18" i="6"/>
  <c r="L18" i="6"/>
  <c r="K18" i="6"/>
  <c r="J18" i="6"/>
  <c r="E18" i="6"/>
  <c r="D18" i="6"/>
  <c r="C18" i="6"/>
  <c r="S17" i="6"/>
  <c r="R17" i="6"/>
  <c r="Q17" i="6"/>
  <c r="L17" i="6"/>
  <c r="K17" i="6"/>
  <c r="J17" i="6"/>
  <c r="E17" i="6"/>
  <c r="D17" i="6"/>
  <c r="C17" i="6"/>
  <c r="S16" i="6"/>
  <c r="R16" i="6"/>
  <c r="Q16" i="6"/>
  <c r="L16" i="6"/>
  <c r="K16" i="6"/>
  <c r="J16" i="6"/>
  <c r="E16" i="6"/>
  <c r="D16" i="6"/>
  <c r="C16" i="6"/>
  <c r="S15" i="6"/>
  <c r="R15" i="6"/>
  <c r="Q15" i="6"/>
  <c r="L15" i="6"/>
  <c r="K15" i="6"/>
  <c r="J15" i="6"/>
  <c r="E15" i="6"/>
  <c r="D15" i="6"/>
  <c r="C15" i="6"/>
  <c r="S14" i="6"/>
  <c r="R14" i="6"/>
  <c r="Q14" i="6"/>
  <c r="L14" i="6"/>
  <c r="K14" i="6"/>
  <c r="J14" i="6"/>
  <c r="E14" i="6"/>
  <c r="D14" i="6"/>
  <c r="C14" i="6"/>
  <c r="S13" i="6"/>
  <c r="R13" i="6"/>
  <c r="Q13" i="6"/>
  <c r="L13" i="6"/>
  <c r="K13" i="6"/>
  <c r="J13" i="6"/>
  <c r="E13" i="6"/>
  <c r="D13" i="6"/>
  <c r="C13" i="6"/>
  <c r="S12" i="6"/>
  <c r="R12" i="6"/>
  <c r="Q12" i="6"/>
  <c r="L12" i="6"/>
  <c r="K12" i="6"/>
  <c r="J12" i="6"/>
  <c r="E12" i="6"/>
  <c r="D12" i="6"/>
  <c r="C12" i="6"/>
  <c r="S11" i="6"/>
  <c r="R11" i="6"/>
  <c r="Q11" i="6"/>
  <c r="L11" i="6"/>
  <c r="K11" i="6"/>
  <c r="J11" i="6"/>
  <c r="E11" i="6"/>
  <c r="D11" i="6"/>
  <c r="C11" i="6"/>
  <c r="S10" i="6"/>
  <c r="R10" i="6"/>
  <c r="Q10" i="6"/>
  <c r="M10" i="6"/>
  <c r="L10" i="6"/>
  <c r="K10" i="6"/>
  <c r="J10" i="6"/>
  <c r="F10" i="6"/>
  <c r="E10" i="6"/>
  <c r="D10" i="6"/>
  <c r="C10" i="6"/>
  <c r="S9" i="6"/>
  <c r="R9" i="6"/>
  <c r="Q9" i="6"/>
  <c r="M9" i="6"/>
  <c r="L9" i="6"/>
  <c r="K9" i="6"/>
  <c r="J9" i="6"/>
  <c r="F9" i="6"/>
  <c r="E9" i="6"/>
  <c r="D9" i="6"/>
  <c r="C9" i="6"/>
  <c r="T8" i="6"/>
  <c r="S8" i="6"/>
  <c r="R8" i="6"/>
  <c r="Q8" i="6"/>
  <c r="M8" i="6"/>
  <c r="L8" i="6"/>
  <c r="K8" i="6"/>
  <c r="J8" i="6"/>
  <c r="F8" i="6"/>
  <c r="E8" i="6"/>
  <c r="D8" i="6"/>
  <c r="C8" i="6"/>
  <c r="T7" i="6"/>
  <c r="S7" i="6"/>
  <c r="R7" i="6"/>
  <c r="Q7" i="6"/>
  <c r="M7" i="6"/>
  <c r="L7" i="6"/>
  <c r="K7" i="6"/>
  <c r="J7" i="6"/>
  <c r="F7" i="6"/>
  <c r="E7" i="6"/>
  <c r="D7" i="6"/>
  <c r="C7" i="6"/>
  <c r="T6" i="6"/>
  <c r="S6" i="6"/>
  <c r="R6" i="6"/>
  <c r="Q6" i="6"/>
  <c r="M6" i="6"/>
  <c r="L6" i="6"/>
  <c r="K6" i="6"/>
  <c r="J6" i="6"/>
  <c r="F6" i="6"/>
  <c r="E6" i="6"/>
  <c r="D6" i="6"/>
  <c r="C6" i="6"/>
  <c r="T5" i="6"/>
  <c r="S5" i="6"/>
  <c r="R5" i="6"/>
  <c r="Q5" i="6"/>
  <c r="M5" i="6"/>
  <c r="L5" i="6"/>
  <c r="K5" i="6"/>
  <c r="J5" i="6"/>
  <c r="F5" i="6"/>
  <c r="E5" i="6"/>
  <c r="D5" i="6"/>
  <c r="C5" i="6"/>
  <c r="T4" i="6"/>
  <c r="S4" i="6"/>
  <c r="R4" i="6"/>
  <c r="Q4" i="6"/>
  <c r="M4" i="6"/>
  <c r="L4" i="6"/>
  <c r="K4" i="6"/>
  <c r="J4" i="6"/>
  <c r="F4" i="6"/>
  <c r="E4" i="6"/>
  <c r="D4" i="6"/>
  <c r="C4" i="6"/>
  <c r="Q3" i="6"/>
  <c r="J3" i="6"/>
  <c r="C3" i="6"/>
  <c r="E82" i="5"/>
  <c r="D82" i="5"/>
  <c r="C82" i="5"/>
  <c r="E81" i="5"/>
  <c r="D81" i="5"/>
  <c r="C81" i="5"/>
  <c r="E80" i="5"/>
  <c r="D80" i="5"/>
  <c r="C80" i="5"/>
  <c r="E79" i="5"/>
  <c r="D79" i="5"/>
  <c r="C79" i="5"/>
  <c r="E78" i="5"/>
  <c r="D78" i="5"/>
  <c r="C78" i="5"/>
  <c r="E77" i="5"/>
  <c r="D77" i="5"/>
  <c r="C77" i="5"/>
  <c r="E76" i="5"/>
  <c r="D76" i="5"/>
  <c r="C76" i="5"/>
  <c r="E75" i="5"/>
  <c r="D75" i="5"/>
  <c r="C75" i="5"/>
  <c r="E74" i="5"/>
  <c r="D74" i="5"/>
  <c r="C74" i="5"/>
  <c r="E73" i="5"/>
  <c r="D73" i="5"/>
  <c r="C73" i="5"/>
  <c r="E72" i="5"/>
  <c r="D72" i="5"/>
  <c r="C72" i="5"/>
  <c r="E71" i="5"/>
  <c r="D71" i="5"/>
  <c r="C71" i="5"/>
  <c r="E70" i="5"/>
  <c r="D70" i="5"/>
  <c r="C70" i="5"/>
  <c r="E69" i="5"/>
  <c r="D69" i="5"/>
  <c r="C69" i="5"/>
  <c r="E68" i="5"/>
  <c r="D68" i="5"/>
  <c r="C68" i="5"/>
  <c r="E67" i="5"/>
  <c r="D67" i="5"/>
  <c r="C67" i="5"/>
  <c r="E66" i="5"/>
  <c r="D66" i="5"/>
  <c r="C66" i="5"/>
  <c r="E65" i="5"/>
  <c r="D65" i="5"/>
  <c r="C65" i="5"/>
  <c r="E64" i="5"/>
  <c r="D64" i="5"/>
  <c r="C64" i="5"/>
  <c r="E63" i="5"/>
  <c r="D63" i="5"/>
  <c r="C63" i="5"/>
  <c r="E62" i="5"/>
  <c r="D62" i="5"/>
  <c r="C62" i="5"/>
  <c r="E61" i="5"/>
  <c r="D61" i="5"/>
  <c r="C61" i="5"/>
  <c r="E60" i="5"/>
  <c r="D60" i="5"/>
  <c r="C60" i="5"/>
  <c r="E59" i="5"/>
  <c r="D59" i="5"/>
  <c r="C59" i="5"/>
  <c r="E58" i="5"/>
  <c r="D58" i="5"/>
  <c r="C58" i="5"/>
  <c r="E57" i="5"/>
  <c r="D57" i="5"/>
  <c r="C57" i="5"/>
  <c r="S56" i="5"/>
  <c r="R56" i="5"/>
  <c r="Q56" i="5"/>
  <c r="E56" i="5"/>
  <c r="D56" i="5"/>
  <c r="C56" i="5"/>
  <c r="S55" i="5"/>
  <c r="R55" i="5"/>
  <c r="Q55" i="5"/>
  <c r="L55" i="5"/>
  <c r="K55" i="5"/>
  <c r="J55" i="5"/>
  <c r="E55" i="5"/>
  <c r="D55" i="5"/>
  <c r="C55" i="5"/>
  <c r="S54" i="5"/>
  <c r="R54" i="5"/>
  <c r="Q54" i="5"/>
  <c r="L54" i="5"/>
  <c r="K54" i="5"/>
  <c r="J54" i="5"/>
  <c r="E54" i="5"/>
  <c r="D54" i="5"/>
  <c r="C54" i="5"/>
  <c r="S53" i="5"/>
  <c r="R53" i="5"/>
  <c r="Q53" i="5"/>
  <c r="L53" i="5"/>
  <c r="K53" i="5"/>
  <c r="J53" i="5"/>
  <c r="E53" i="5"/>
  <c r="D53" i="5"/>
  <c r="C53" i="5"/>
  <c r="S52" i="5"/>
  <c r="R52" i="5"/>
  <c r="Q52" i="5"/>
  <c r="L52" i="5"/>
  <c r="K52" i="5"/>
  <c r="J52" i="5"/>
  <c r="E52" i="5"/>
  <c r="D52" i="5"/>
  <c r="C52" i="5"/>
  <c r="S51" i="5"/>
  <c r="R51" i="5"/>
  <c r="Q51" i="5"/>
  <c r="L51" i="5"/>
  <c r="K51" i="5"/>
  <c r="J51" i="5"/>
  <c r="E51" i="5"/>
  <c r="D51" i="5"/>
  <c r="C51" i="5"/>
  <c r="S50" i="5"/>
  <c r="R50" i="5"/>
  <c r="Q50" i="5"/>
  <c r="L50" i="5"/>
  <c r="K50" i="5"/>
  <c r="J50" i="5"/>
  <c r="E50" i="5"/>
  <c r="D50" i="5"/>
  <c r="C50" i="5"/>
  <c r="S49" i="5"/>
  <c r="R49" i="5"/>
  <c r="Q49" i="5"/>
  <c r="L49" i="5"/>
  <c r="K49" i="5"/>
  <c r="J49" i="5"/>
  <c r="E49" i="5"/>
  <c r="D49" i="5"/>
  <c r="C49" i="5"/>
  <c r="S48" i="5"/>
  <c r="R48" i="5"/>
  <c r="Q48" i="5"/>
  <c r="L48" i="5"/>
  <c r="K48" i="5"/>
  <c r="J48" i="5"/>
  <c r="E48" i="5"/>
  <c r="D48" i="5"/>
  <c r="C48" i="5"/>
  <c r="S47" i="5"/>
  <c r="R47" i="5"/>
  <c r="Q47" i="5"/>
  <c r="L47" i="5"/>
  <c r="K47" i="5"/>
  <c r="J47" i="5"/>
  <c r="E47" i="5"/>
  <c r="D47" i="5"/>
  <c r="C47" i="5"/>
  <c r="S46" i="5"/>
  <c r="R46" i="5"/>
  <c r="Q46" i="5"/>
  <c r="L46" i="5"/>
  <c r="K46" i="5"/>
  <c r="J46" i="5"/>
  <c r="E46" i="5"/>
  <c r="D46" i="5"/>
  <c r="C46" i="5"/>
  <c r="S45" i="5"/>
  <c r="R45" i="5"/>
  <c r="Q45" i="5"/>
  <c r="L45" i="5"/>
  <c r="K45" i="5"/>
  <c r="J45" i="5"/>
  <c r="E45" i="5"/>
  <c r="D45" i="5"/>
  <c r="C45" i="5"/>
  <c r="S44" i="5"/>
  <c r="R44" i="5"/>
  <c r="Q44" i="5"/>
  <c r="L44" i="5"/>
  <c r="K44" i="5"/>
  <c r="J44" i="5"/>
  <c r="E44" i="5"/>
  <c r="D44" i="5"/>
  <c r="C44" i="5"/>
  <c r="S43" i="5"/>
  <c r="R43" i="5"/>
  <c r="Q43" i="5"/>
  <c r="L43" i="5"/>
  <c r="K43" i="5"/>
  <c r="J43" i="5"/>
  <c r="E43" i="5"/>
  <c r="D43" i="5"/>
  <c r="C43" i="5"/>
  <c r="S42" i="5"/>
  <c r="R42" i="5"/>
  <c r="Q42" i="5"/>
  <c r="L42" i="5"/>
  <c r="K42" i="5"/>
  <c r="J42" i="5"/>
  <c r="E42" i="5"/>
  <c r="D42" i="5"/>
  <c r="C42" i="5"/>
  <c r="S41" i="5"/>
  <c r="R41" i="5"/>
  <c r="Q41" i="5"/>
  <c r="L41" i="5"/>
  <c r="K41" i="5"/>
  <c r="J41" i="5"/>
  <c r="E41" i="5"/>
  <c r="D41" i="5"/>
  <c r="C41" i="5"/>
  <c r="S40" i="5"/>
  <c r="R40" i="5"/>
  <c r="Q40" i="5"/>
  <c r="L40" i="5"/>
  <c r="K40" i="5"/>
  <c r="J40" i="5"/>
  <c r="E40" i="5"/>
  <c r="D40" i="5"/>
  <c r="C40" i="5"/>
  <c r="S39" i="5"/>
  <c r="R39" i="5"/>
  <c r="Q39" i="5"/>
  <c r="L39" i="5"/>
  <c r="K39" i="5"/>
  <c r="J39" i="5"/>
  <c r="E39" i="5"/>
  <c r="D39" i="5"/>
  <c r="C39" i="5"/>
  <c r="S38" i="5"/>
  <c r="R38" i="5"/>
  <c r="Q38" i="5"/>
  <c r="L38" i="5"/>
  <c r="K38" i="5"/>
  <c r="J38" i="5"/>
  <c r="E38" i="5"/>
  <c r="D38" i="5"/>
  <c r="C38" i="5"/>
  <c r="S37" i="5"/>
  <c r="R37" i="5"/>
  <c r="Q37" i="5"/>
  <c r="L37" i="5"/>
  <c r="K37" i="5"/>
  <c r="J37" i="5"/>
  <c r="E37" i="5"/>
  <c r="D37" i="5"/>
  <c r="C37" i="5"/>
  <c r="S36" i="5"/>
  <c r="R36" i="5"/>
  <c r="Q36" i="5"/>
  <c r="L36" i="5"/>
  <c r="K36" i="5"/>
  <c r="J36" i="5"/>
  <c r="E36" i="5"/>
  <c r="D36" i="5"/>
  <c r="C36" i="5"/>
  <c r="S35" i="5"/>
  <c r="R35" i="5"/>
  <c r="Q35" i="5"/>
  <c r="L35" i="5"/>
  <c r="K35" i="5"/>
  <c r="J35" i="5"/>
  <c r="E35" i="5"/>
  <c r="D35" i="5"/>
  <c r="C35" i="5"/>
  <c r="S34" i="5"/>
  <c r="R34" i="5"/>
  <c r="Q34" i="5"/>
  <c r="L34" i="5"/>
  <c r="K34" i="5"/>
  <c r="J34" i="5"/>
  <c r="E34" i="5"/>
  <c r="D34" i="5"/>
  <c r="C34" i="5"/>
  <c r="S33" i="5"/>
  <c r="R33" i="5"/>
  <c r="Q33" i="5"/>
  <c r="L33" i="5"/>
  <c r="K33" i="5"/>
  <c r="J33" i="5"/>
  <c r="E33" i="5"/>
  <c r="D33" i="5"/>
  <c r="C33" i="5"/>
  <c r="S32" i="5"/>
  <c r="R32" i="5"/>
  <c r="Q32" i="5"/>
  <c r="L32" i="5"/>
  <c r="K32" i="5"/>
  <c r="J32" i="5"/>
  <c r="E32" i="5"/>
  <c r="D32" i="5"/>
  <c r="C32" i="5"/>
  <c r="S31" i="5"/>
  <c r="R31" i="5"/>
  <c r="Q31" i="5"/>
  <c r="L31" i="5"/>
  <c r="K31" i="5"/>
  <c r="J31" i="5"/>
  <c r="E31" i="5"/>
  <c r="D31" i="5"/>
  <c r="C31" i="5"/>
  <c r="S30" i="5"/>
  <c r="R30" i="5"/>
  <c r="Q30" i="5"/>
  <c r="L30" i="5"/>
  <c r="K30" i="5"/>
  <c r="J30" i="5"/>
  <c r="E30" i="5"/>
  <c r="D30" i="5"/>
  <c r="C30" i="5"/>
  <c r="S29" i="5"/>
  <c r="R29" i="5"/>
  <c r="Q29" i="5"/>
  <c r="L29" i="5"/>
  <c r="K29" i="5"/>
  <c r="J29" i="5"/>
  <c r="E29" i="5"/>
  <c r="D29" i="5"/>
  <c r="C29" i="5"/>
  <c r="S28" i="5"/>
  <c r="R28" i="5"/>
  <c r="Q28" i="5"/>
  <c r="L28" i="5"/>
  <c r="K28" i="5"/>
  <c r="J28" i="5"/>
  <c r="E28" i="5"/>
  <c r="D28" i="5"/>
  <c r="C28" i="5"/>
  <c r="S27" i="5"/>
  <c r="R27" i="5"/>
  <c r="Q27" i="5"/>
  <c r="L27" i="5"/>
  <c r="K27" i="5"/>
  <c r="J27" i="5"/>
  <c r="E27" i="5"/>
  <c r="D27" i="5"/>
  <c r="C27" i="5"/>
  <c r="S26" i="5"/>
  <c r="R26" i="5"/>
  <c r="Q26" i="5"/>
  <c r="L26" i="5"/>
  <c r="K26" i="5"/>
  <c r="J26" i="5"/>
  <c r="E26" i="5"/>
  <c r="D26" i="5"/>
  <c r="C26" i="5"/>
  <c r="S25" i="5"/>
  <c r="R25" i="5"/>
  <c r="Q25" i="5"/>
  <c r="L25" i="5"/>
  <c r="K25" i="5"/>
  <c r="J25" i="5"/>
  <c r="E25" i="5"/>
  <c r="D25" i="5"/>
  <c r="C25" i="5"/>
  <c r="S24" i="5"/>
  <c r="R24" i="5"/>
  <c r="Q24" i="5"/>
  <c r="L24" i="5"/>
  <c r="K24" i="5"/>
  <c r="J24" i="5"/>
  <c r="E24" i="5"/>
  <c r="D24" i="5"/>
  <c r="C24" i="5"/>
  <c r="S23" i="5"/>
  <c r="R23" i="5"/>
  <c r="Q23" i="5"/>
  <c r="L23" i="5"/>
  <c r="K23" i="5"/>
  <c r="J23" i="5"/>
  <c r="E23" i="5"/>
  <c r="D23" i="5"/>
  <c r="C23" i="5"/>
  <c r="S22" i="5"/>
  <c r="R22" i="5"/>
  <c r="Q22" i="5"/>
  <c r="L22" i="5"/>
  <c r="K22" i="5"/>
  <c r="J22" i="5"/>
  <c r="E22" i="5"/>
  <c r="D22" i="5"/>
  <c r="C22" i="5"/>
  <c r="S21" i="5"/>
  <c r="R21" i="5"/>
  <c r="Q21" i="5"/>
  <c r="L21" i="5"/>
  <c r="K21" i="5"/>
  <c r="J21" i="5"/>
  <c r="E21" i="5"/>
  <c r="D21" i="5"/>
  <c r="C21" i="5"/>
  <c r="S20" i="5"/>
  <c r="R20" i="5"/>
  <c r="Q20" i="5"/>
  <c r="L20" i="5"/>
  <c r="K20" i="5"/>
  <c r="J20" i="5"/>
  <c r="E20" i="5"/>
  <c r="D20" i="5"/>
  <c r="C20" i="5"/>
  <c r="S19" i="5"/>
  <c r="R19" i="5"/>
  <c r="Q19" i="5"/>
  <c r="L19" i="5"/>
  <c r="K19" i="5"/>
  <c r="J19" i="5"/>
  <c r="E19" i="5"/>
  <c r="D19" i="5"/>
  <c r="C19" i="5"/>
  <c r="S18" i="5"/>
  <c r="R18" i="5"/>
  <c r="Q18" i="5"/>
  <c r="L18" i="5"/>
  <c r="K18" i="5"/>
  <c r="J18" i="5"/>
  <c r="E18" i="5"/>
  <c r="D18" i="5"/>
  <c r="C18" i="5"/>
  <c r="S17" i="5"/>
  <c r="R17" i="5"/>
  <c r="Q17" i="5"/>
  <c r="L17" i="5"/>
  <c r="K17" i="5"/>
  <c r="J17" i="5"/>
  <c r="E17" i="5"/>
  <c r="D17" i="5"/>
  <c r="C17" i="5"/>
  <c r="S16" i="5"/>
  <c r="R16" i="5"/>
  <c r="Q16" i="5"/>
  <c r="L16" i="5"/>
  <c r="K16" i="5"/>
  <c r="J16" i="5"/>
  <c r="E16" i="5"/>
  <c r="D16" i="5"/>
  <c r="C16" i="5"/>
  <c r="S15" i="5"/>
  <c r="R15" i="5"/>
  <c r="Q15" i="5"/>
  <c r="L15" i="5"/>
  <c r="K15" i="5"/>
  <c r="J15" i="5"/>
  <c r="E15" i="5"/>
  <c r="D15" i="5"/>
  <c r="C15" i="5"/>
  <c r="S14" i="5"/>
  <c r="R14" i="5"/>
  <c r="Q14" i="5"/>
  <c r="L14" i="5"/>
  <c r="K14" i="5"/>
  <c r="J14" i="5"/>
  <c r="E14" i="5"/>
  <c r="D14" i="5"/>
  <c r="C14" i="5"/>
  <c r="S13" i="5"/>
  <c r="R13" i="5"/>
  <c r="Q13" i="5"/>
  <c r="L13" i="5"/>
  <c r="K13" i="5"/>
  <c r="J13" i="5"/>
  <c r="E13" i="5"/>
  <c r="D13" i="5"/>
  <c r="C13" i="5"/>
  <c r="S12" i="5"/>
  <c r="R12" i="5"/>
  <c r="Q12" i="5"/>
  <c r="L12" i="5"/>
  <c r="K12" i="5"/>
  <c r="J12" i="5"/>
  <c r="E12" i="5"/>
  <c r="D12" i="5"/>
  <c r="C12" i="5"/>
  <c r="S11" i="5"/>
  <c r="R11" i="5"/>
  <c r="Q11" i="5"/>
  <c r="L11" i="5"/>
  <c r="K11" i="5"/>
  <c r="J11" i="5"/>
  <c r="E11" i="5"/>
  <c r="D11" i="5"/>
  <c r="C11" i="5"/>
  <c r="S10" i="5"/>
  <c r="R10" i="5"/>
  <c r="Q10" i="5"/>
  <c r="L10" i="5"/>
  <c r="K10" i="5"/>
  <c r="J10" i="5"/>
  <c r="E10" i="5"/>
  <c r="D10" i="5"/>
  <c r="C10" i="5"/>
  <c r="T9" i="5"/>
  <c r="S9" i="5"/>
  <c r="R9" i="5"/>
  <c r="Q9" i="5"/>
  <c r="L9" i="5"/>
  <c r="K9" i="5"/>
  <c r="J9" i="5"/>
  <c r="E9" i="5"/>
  <c r="D9" i="5"/>
  <c r="C9" i="5"/>
  <c r="T8" i="5"/>
  <c r="S8" i="5"/>
  <c r="R8" i="5"/>
  <c r="Q8" i="5"/>
  <c r="L8" i="5"/>
  <c r="K8" i="5"/>
  <c r="J8" i="5"/>
  <c r="F8" i="5"/>
  <c r="E8" i="5"/>
  <c r="D8" i="5"/>
  <c r="C8" i="5"/>
  <c r="T7" i="5"/>
  <c r="S7" i="5"/>
  <c r="R7" i="5"/>
  <c r="Q7" i="5"/>
  <c r="M7" i="5"/>
  <c r="L7" i="5"/>
  <c r="K7" i="5"/>
  <c r="J7" i="5"/>
  <c r="F7" i="5"/>
  <c r="E7" i="5"/>
  <c r="D7" i="5"/>
  <c r="C7" i="5"/>
  <c r="T6" i="5"/>
  <c r="S6" i="5"/>
  <c r="R6" i="5"/>
  <c r="Q6" i="5"/>
  <c r="M6" i="5"/>
  <c r="L6" i="5"/>
  <c r="K6" i="5"/>
  <c r="J6" i="5"/>
  <c r="F6" i="5"/>
  <c r="E6" i="5"/>
  <c r="D6" i="5"/>
  <c r="C6" i="5"/>
  <c r="T5" i="5"/>
  <c r="S5" i="5"/>
  <c r="R5" i="5"/>
  <c r="Q5" i="5"/>
  <c r="M5" i="5"/>
  <c r="L5" i="5"/>
  <c r="K5" i="5"/>
  <c r="J5" i="5"/>
  <c r="F5" i="5"/>
  <c r="E5" i="5"/>
  <c r="D5" i="5"/>
  <c r="C5" i="5"/>
  <c r="T4" i="5"/>
  <c r="S4" i="5"/>
  <c r="R4" i="5"/>
  <c r="Q4" i="5"/>
  <c r="M4" i="5"/>
  <c r="L4" i="5"/>
  <c r="K4" i="5"/>
  <c r="J4" i="5"/>
  <c r="F4" i="5"/>
  <c r="E4" i="5"/>
  <c r="D4" i="5"/>
  <c r="C4" i="5"/>
  <c r="Q3" i="5"/>
  <c r="J3" i="5"/>
  <c r="C3" i="5"/>
  <c r="E1734" i="2"/>
  <c r="D1702" i="2"/>
  <c r="D1701" i="2"/>
  <c r="D1673" i="2"/>
  <c r="E1670" i="2"/>
  <c r="E1669" i="2"/>
  <c r="E1668" i="2"/>
  <c r="D1667" i="2"/>
  <c r="E1665" i="2"/>
  <c r="E1664" i="2"/>
  <c r="E1663" i="2"/>
  <c r="E1662" i="2"/>
  <c r="E1633" i="2"/>
  <c r="E1632" i="2"/>
  <c r="E1631" i="2"/>
  <c r="E1630" i="2"/>
  <c r="E1572" i="2"/>
  <c r="E1571" i="2"/>
  <c r="E1570" i="2"/>
  <c r="E1569" i="2"/>
  <c r="D1549" i="2"/>
  <c r="E1511" i="2"/>
  <c r="E1510" i="2"/>
  <c r="E1509" i="2"/>
  <c r="E1508" i="2"/>
  <c r="E1507" i="2"/>
  <c r="E1506" i="2"/>
  <c r="D1500" i="2"/>
  <c r="D1496" i="2"/>
  <c r="D1495" i="2"/>
  <c r="D1493" i="2"/>
  <c r="D1492" i="2"/>
  <c r="D1491" i="2"/>
  <c r="D1490" i="2"/>
  <c r="D1489" i="2"/>
  <c r="D1488" i="2"/>
  <c r="D1487" i="2"/>
  <c r="D1486" i="2"/>
  <c r="D1485" i="2"/>
  <c r="D1484" i="2"/>
  <c r="D1483" i="2"/>
  <c r="D1482" i="2"/>
  <c r="D1481" i="2"/>
  <c r="D1480" i="2"/>
  <c r="D1479" i="2"/>
  <c r="D1478" i="2"/>
  <c r="D1477" i="2"/>
  <c r="D1476" i="2"/>
  <c r="D1475" i="2"/>
  <c r="D1470" i="2"/>
  <c r="D1469" i="2"/>
  <c r="D1468" i="2"/>
  <c r="D1467" i="2"/>
  <c r="D1466" i="2"/>
  <c r="D1461" i="2"/>
  <c r="D1443" i="2"/>
  <c r="D1442" i="2"/>
  <c r="D1441" i="2"/>
  <c r="D1440" i="2"/>
  <c r="E1437" i="2"/>
  <c r="D1437" i="2"/>
  <c r="E1436" i="2"/>
  <c r="E1435" i="2"/>
  <c r="D1435" i="2"/>
  <c r="D1434" i="2"/>
  <c r="D1423" i="2"/>
  <c r="E1387" i="2"/>
  <c r="E1386" i="2"/>
  <c r="E1385" i="2"/>
  <c r="E1384" i="2"/>
  <c r="E1383" i="2"/>
  <c r="E1382" i="2"/>
  <c r="E1381" i="2"/>
  <c r="E1380" i="2"/>
  <c r="E1379" i="2"/>
  <c r="E1378" i="2"/>
  <c r="E1377" i="2"/>
  <c r="E1376" i="2"/>
  <c r="E1375" i="2"/>
  <c r="E1327" i="2"/>
  <c r="E1326" i="2"/>
  <c r="E1325" i="2"/>
  <c r="D1291" i="2"/>
  <c r="D1285" i="2"/>
  <c r="D1281" i="2"/>
  <c r="E1260" i="2"/>
  <c r="E1259" i="2"/>
  <c r="D1259" i="2"/>
  <c r="E1254" i="2"/>
  <c r="E1194" i="2"/>
  <c r="E1193" i="2"/>
  <c r="E1192" i="2"/>
  <c r="D1172" i="2"/>
  <c r="D1157" i="2"/>
  <c r="D1109" i="2"/>
  <c r="D1101" i="2"/>
  <c r="E1099" i="2"/>
  <c r="E1098" i="2"/>
  <c r="E1097" i="2"/>
  <c r="E1094" i="2"/>
  <c r="D1092" i="2"/>
  <c r="E1040" i="2"/>
  <c r="E1039" i="2"/>
  <c r="D1037" i="2"/>
  <c r="E1035" i="2"/>
  <c r="D1031" i="2"/>
  <c r="D1020" i="2"/>
  <c r="D1018" i="2"/>
  <c r="D1016" i="2"/>
  <c r="E972" i="2"/>
  <c r="E970" i="2"/>
  <c r="E969" i="2"/>
  <c r="E967" i="2"/>
  <c r="D964" i="2"/>
  <c r="E963" i="2"/>
  <c r="E960" i="2"/>
  <c r="E883" i="2"/>
  <c r="E880" i="2"/>
  <c r="E879" i="2"/>
  <c r="E878" i="2"/>
  <c r="E877" i="2"/>
  <c r="D868" i="2"/>
  <c r="D867" i="2"/>
  <c r="D866" i="2"/>
  <c r="D865" i="2"/>
  <c r="D864" i="2"/>
  <c r="D863" i="2"/>
  <c r="D862" i="2"/>
  <c r="D861" i="2"/>
  <c r="D860" i="2"/>
  <c r="D859" i="2"/>
  <c r="D858" i="2"/>
  <c r="D857" i="2"/>
  <c r="D856" i="2"/>
  <c r="D855" i="2"/>
  <c r="D854" i="2"/>
  <c r="D853" i="2"/>
  <c r="D852" i="2"/>
  <c r="D851" i="2"/>
  <c r="D850" i="2"/>
  <c r="D849" i="2"/>
  <c r="D848" i="2"/>
  <c r="D827" i="2"/>
  <c r="D816" i="2"/>
  <c r="D815" i="2"/>
  <c r="D814" i="2"/>
  <c r="D813" i="2"/>
  <c r="D812" i="2"/>
  <c r="D811" i="2"/>
  <c r="D810" i="2"/>
  <c r="D809" i="2"/>
  <c r="D808" i="2"/>
  <c r="D807" i="2"/>
  <c r="D806" i="2"/>
  <c r="E792" i="2"/>
  <c r="E791" i="2"/>
  <c r="E789" i="2"/>
  <c r="E788" i="2"/>
  <c r="D787" i="2"/>
  <c r="E786" i="2"/>
  <c r="D786" i="2"/>
  <c r="E785" i="2"/>
  <c r="D785" i="2"/>
  <c r="D773" i="2"/>
  <c r="D772" i="2"/>
  <c r="D768" i="2"/>
  <c r="D767" i="2"/>
  <c r="D766" i="2"/>
  <c r="D765" i="2"/>
  <c r="D764" i="2"/>
  <c r="D763" i="2"/>
  <c r="D762" i="2"/>
  <c r="D761" i="2"/>
  <c r="D760" i="2"/>
  <c r="D759" i="2"/>
  <c r="D758" i="2"/>
  <c r="D757" i="2"/>
  <c r="D756" i="2"/>
  <c r="D755" i="2"/>
  <c r="D747" i="2"/>
  <c r="D746" i="2"/>
  <c r="D745" i="2"/>
  <c r="D744" i="2"/>
  <c r="D730" i="2"/>
  <c r="D727" i="2"/>
  <c r="D726" i="2"/>
  <c r="D725" i="2"/>
  <c r="D724" i="2"/>
  <c r="D723" i="2"/>
  <c r="D722" i="2"/>
  <c r="D721" i="2"/>
  <c r="E718" i="2"/>
  <c r="D718" i="2"/>
  <c r="E717" i="2"/>
  <c r="D717" i="2"/>
  <c r="E716" i="2"/>
  <c r="D716" i="2"/>
  <c r="E715" i="2"/>
  <c r="E714" i="2"/>
  <c r="E713" i="2"/>
  <c r="D713" i="2"/>
  <c r="E712" i="2"/>
  <c r="D712" i="2"/>
  <c r="D711" i="2"/>
  <c r="D647" i="2"/>
  <c r="E628" i="2"/>
  <c r="E627" i="2"/>
  <c r="E626" i="2"/>
  <c r="E624" i="2"/>
  <c r="E623" i="2"/>
  <c r="D620" i="2"/>
  <c r="E619" i="2"/>
  <c r="D618" i="2"/>
  <c r="D599" i="2"/>
  <c r="D567" i="2"/>
  <c r="E558" i="2"/>
  <c r="D550" i="2"/>
  <c r="D530" i="2"/>
  <c r="E518" i="2"/>
  <c r="E473" i="2"/>
  <c r="E472" i="2"/>
  <c r="D472" i="2"/>
  <c r="E471" i="2"/>
  <c r="E470" i="2"/>
  <c r="E469" i="2"/>
  <c r="E468" i="2"/>
  <c r="E364" i="2"/>
  <c r="E362" i="2"/>
  <c r="E361" i="2"/>
  <c r="E360" i="2"/>
  <c r="E359" i="2"/>
  <c r="E358" i="2"/>
  <c r="E357" i="2"/>
  <c r="E356" i="2"/>
  <c r="E353" i="2"/>
  <c r="E352" i="2"/>
  <c r="D352" i="2"/>
  <c r="E351" i="2"/>
  <c r="E320" i="2"/>
  <c r="E319" i="2"/>
  <c r="D307" i="2"/>
  <c r="E245" i="2"/>
  <c r="E244" i="2"/>
  <c r="E191" i="2"/>
  <c r="E190" i="2"/>
  <c r="E138" i="2"/>
  <c r="E84" i="2"/>
  <c r="E83" i="2"/>
  <c r="D30" i="2"/>
  <c r="E5" i="2"/>
  <c r="E4" i="2"/>
</calcChain>
</file>

<file path=xl/sharedStrings.xml><?xml version="1.0" encoding="utf-8"?>
<sst xmlns="http://schemas.openxmlformats.org/spreadsheetml/2006/main" count="5804" uniqueCount="1461">
  <si>
    <t>Use LinkedIn Learning to Support Your Organization's and Employees' Professional Development</t>
  </si>
  <si>
    <t xml:space="preserve">This document is designed to help LinkedIn Learning customers curate content that aligns to top requested competencies and supports the needs of all employees.
</t>
  </si>
  <si>
    <t xml:space="preserve">
Each competency tab contains a full list of  courses and suggested Learning Paths
•All course titles and Learning Paths contain embeded links
•It contains alternative terms that may also be used to describe that competency
</t>
  </si>
  <si>
    <t xml:space="preserve">As a LinkedIn Learning admin, you can leverage these competency Learning Paths by creating a duplicate. You can then add sections to your learning path, update their descriptions, or rename them as an admin.
</t>
  </si>
  <si>
    <t>Competencies in alphabet order</t>
  </si>
  <si>
    <t>Admin IDs</t>
  </si>
  <si>
    <t>Proficiency Level</t>
  </si>
  <si>
    <t>Aligned Courses</t>
  </si>
  <si>
    <t>Aligned Learning Paths</t>
  </si>
  <si>
    <t>Accountability and Results-Oriented</t>
  </si>
  <si>
    <t>Course IDs</t>
  </si>
  <si>
    <t>Level</t>
  </si>
  <si>
    <t>Courses</t>
  </si>
  <si>
    <t>Learning Paths</t>
  </si>
  <si>
    <t>Advanced</t>
  </si>
  <si>
    <t>Organization Design</t>
  </si>
  <si>
    <t>Improve Your Organizational Skills</t>
  </si>
  <si>
    <t>Beginner</t>
  </si>
  <si>
    <t>Be More Productive: Take Small Steps, Have Big Goals</t>
  </si>
  <si>
    <t>Building Resilience</t>
  </si>
  <si>
    <t>Delivering Results Effectively</t>
  </si>
  <si>
    <t xml:space="preserve">Building Accountability and Becoming Results Oriented </t>
  </si>
  <si>
    <t>Developing a Learning Mindset</t>
  </si>
  <si>
    <t>Developing Resourcefulness</t>
  </si>
  <si>
    <t>Efficient Time Management</t>
  </si>
  <si>
    <t>Enhancing Resilience</t>
  </si>
  <si>
    <t>Enhancing Your Productivity</t>
  </si>
  <si>
    <t>Fred Kofman on Accountability</t>
  </si>
  <si>
    <t>Fred Kofman on Making Commitments</t>
  </si>
  <si>
    <t>Gaining Skills with LinkedIn Learning</t>
  </si>
  <si>
    <t>Getting Things Done</t>
  </si>
  <si>
    <t>Holding Yourself Accountable</t>
  </si>
  <si>
    <t>Improving Your Focus</t>
  </si>
  <si>
    <t>Learning Agility</t>
  </si>
  <si>
    <t>Monday Productivity Pointers</t>
  </si>
  <si>
    <t>Overcoming Procrastination</t>
  </si>
  <si>
    <t>Performing under Pressure</t>
  </si>
  <si>
    <t>Prioritizing Effectively as a Leader</t>
  </si>
  <si>
    <t>Sheryl Sandberg and Adam Grant on Option B: Building Resilience</t>
  </si>
  <si>
    <t>Solving Business Problems</t>
  </si>
  <si>
    <t>Time Management Fundamentals</t>
  </si>
  <si>
    <t>Tony Schwartz on Managing Your Energy for Sustainable High Performance</t>
  </si>
  <si>
    <t>Proven Tips for Managing Your Time</t>
  </si>
  <si>
    <t>Time Management Tips: Scheduling</t>
  </si>
  <si>
    <t>Time Management Tips: Teamwork</t>
  </si>
  <si>
    <t>Productivity Tips: Finding Your Rhythm</t>
  </si>
  <si>
    <t>Productivity Tips: Using Technology</t>
  </si>
  <si>
    <t>Productivity Tips: Finding Your Productive Mindset</t>
  </si>
  <si>
    <t>Productivity Tips: Setting Up Your Workplace</t>
  </si>
  <si>
    <t>Productivity Tips: Taking Control of Email</t>
  </si>
  <si>
    <t>Building a Better To-Do List</t>
  </si>
  <si>
    <t>15 Secrets Successful People Know About Time Management (getAbstract Summary)</t>
  </si>
  <si>
    <t>How to Slow Down and Be More Productive</t>
  </si>
  <si>
    <t>Productivity Principles to Make Time for What’s Important</t>
  </si>
  <si>
    <t>Making Big Goals Achievable</t>
  </si>
  <si>
    <t>Time Management Tips: Communication</t>
  </si>
  <si>
    <t>Subtle Shifts in Thinking for Tremendous Resilience</t>
  </si>
  <si>
    <t>Productivity: Prioritizing at Work</t>
  </si>
  <si>
    <t>Managing Your Energy</t>
  </si>
  <si>
    <t>Building Better Routines</t>
  </si>
  <si>
    <t>Making Change Last</t>
  </si>
  <si>
    <t>How to Effectively Deliver Criticism</t>
  </si>
  <si>
    <t>Dealing with Disappointment in Your Role</t>
  </si>
  <si>
    <t>Unlocking Your Potential</t>
  </si>
  <si>
    <t>Prioritizing Tasks for Maximum Impact</t>
  </si>
  <si>
    <t>Doubling Your Productivity</t>
  </si>
  <si>
    <t>The Five Conversations That Deliver Accountability and Performance</t>
  </si>
  <si>
    <t>Time Management for Busy People</t>
  </si>
  <si>
    <t>How to Organize Your Time and Your Life</t>
  </si>
  <si>
    <t>Components of Effective Learning</t>
  </si>
  <si>
    <t>Beginner + Intermediate</t>
  </si>
  <si>
    <t>Mixtape: Learning Highlights on Personal Effectiveness</t>
  </si>
  <si>
    <t>Goal Setting: Objectives and Key Results (OKRs)</t>
  </si>
  <si>
    <t>Personal Effectiveness Tips</t>
  </si>
  <si>
    <t>Powerless to Powerful: Taking Control</t>
  </si>
  <si>
    <t>Prioritizing Your Tasks</t>
  </si>
  <si>
    <t>Intermediate</t>
  </si>
  <si>
    <t>Building Resilience as a Leader</t>
  </si>
  <si>
    <t>Time-Tested Methods for Making Complex Decisions</t>
  </si>
  <si>
    <t>Holding Your Team Accountable</t>
  </si>
  <si>
    <t>Time Management for Managers</t>
  </si>
  <si>
    <t>Demonstrating Accountabilty as a Leader</t>
  </si>
  <si>
    <t>Building Accountability Into Your Culture</t>
  </si>
  <si>
    <t>Using Microsoft Teams and Outlook Together: Maximizing Productivity</t>
  </si>
  <si>
    <t>General</t>
  </si>
  <si>
    <t>Stepping Up: How Taking Responsibility Changes Everything (getAbstract Summary)</t>
  </si>
  <si>
    <t>The Rules of Work (getAbstract Summary)</t>
  </si>
  <si>
    <t>What to Do When There's Too Much to Do (getAbstract Summary)</t>
  </si>
  <si>
    <t>Improving the Value of Your Time</t>
  </si>
  <si>
    <t>Balancing Work and Life as a Work-from-Home Parent</t>
  </si>
  <si>
    <t>Business Ethics</t>
  </si>
  <si>
    <t>The Sweet Spot: How to Accomplish More by Doing Less</t>
  </si>
  <si>
    <t>Showing Up Authentically at Work</t>
  </si>
  <si>
    <t>Working from Home: Strategies for Success</t>
  </si>
  <si>
    <t>The Power of Lists to Get Stuff Done</t>
  </si>
  <si>
    <t>Asking for Feedback as an Employee</t>
  </si>
  <si>
    <t>Mastering Self-Leadership</t>
  </si>
  <si>
    <t>Managing Up Virtually as an Employee</t>
  </si>
  <si>
    <t>Adaptability</t>
  </si>
  <si>
    <t>Creating a Culture of Change</t>
  </si>
  <si>
    <t>Managing Change</t>
  </si>
  <si>
    <t>Insights on Working from Home’s Largest-Ever Experiment</t>
  </si>
  <si>
    <t>How to Slash Anxiety and Keep Positivity Flowing</t>
  </si>
  <si>
    <t>Negotiating Work Flexibility</t>
  </si>
  <si>
    <t>Business Innovation Foundations</t>
  </si>
  <si>
    <t>Learning from Failure</t>
  </si>
  <si>
    <t>Critical Thinking</t>
  </si>
  <si>
    <t>Gary Hamel on Busting Bureaucracy</t>
  </si>
  <si>
    <t>Cultivating a Growth Mindset</t>
  </si>
  <si>
    <t>Unlock Your Team's Creativity</t>
  </si>
  <si>
    <t>Managing Stress</t>
  </si>
  <si>
    <t>Aaron Dignan on Transformational Change</t>
  </si>
  <si>
    <t>Avoiding Burnout</t>
  </si>
  <si>
    <t>Get Unstuck from a Career Rut</t>
  </si>
  <si>
    <t>Agile Software Development: Creating an Agile Culture</t>
  </si>
  <si>
    <t>Managing Self-Doubt to Tackle Bigger Challenges</t>
  </si>
  <si>
    <t>Embracing Unexpected Change</t>
  </si>
  <si>
    <t>Preparing to Lead: Developing Mental Toughness in Yourself</t>
  </si>
  <si>
    <t>Real Estate: Developing a Growth Mindset</t>
  </si>
  <si>
    <t>Mixtape: Highlights from LinkedIn Learning Courses</t>
  </si>
  <si>
    <t>Handling Workplace Change as an Employee</t>
  </si>
  <si>
    <t>Developing Adaptable Employees</t>
  </si>
  <si>
    <t>Managing Stress for Positive Change</t>
  </si>
  <si>
    <t>Crunch Time: How to Be Your Best When It Matters Most (getAbstract Summary)</t>
  </si>
  <si>
    <t>How to be an Adaptable Employee During Change and Uncertainty</t>
  </si>
  <si>
    <t>What Is Scrum?</t>
  </si>
  <si>
    <t>Managing Career Burnout</t>
  </si>
  <si>
    <t>Adaptive Leadership for VUCA Challenges</t>
  </si>
  <si>
    <t>Change Management Foundations</t>
  </si>
  <si>
    <t>Organizational Learning and Development</t>
  </si>
  <si>
    <t>Communicating in Times of Change</t>
  </si>
  <si>
    <t>Developing Adaptable Managers</t>
  </si>
  <si>
    <t>Taking Charge of Technology for Maximum Productivity</t>
  </si>
  <si>
    <t>Adaptive Project Leadership</t>
  </si>
  <si>
    <t>Managing Organizational Change for Managers</t>
  </si>
  <si>
    <t>Cultivating Mental Agility</t>
  </si>
  <si>
    <t>Developing Adaptability as a Manager</t>
  </si>
  <si>
    <t>Your L&amp;D Organization as a Competitive Advantage</t>
  </si>
  <si>
    <t>Leaders: Make Your Teams More Agile, Creative, and United</t>
  </si>
  <si>
    <t>Leading Your Team Through Change</t>
  </si>
  <si>
    <t>Building and Managing Effective Teams</t>
  </si>
  <si>
    <t>Creating a High Performance Culture</t>
  </si>
  <si>
    <t>Improve Your Coaching Skills as a Manager</t>
  </si>
  <si>
    <t>Work on Purpose</t>
  </si>
  <si>
    <t>Improve Your Teamwork Skills</t>
  </si>
  <si>
    <t>Boosting Your Team's Productivity</t>
  </si>
  <si>
    <t>Managing Performance</t>
  </si>
  <si>
    <t>Building Your Team</t>
  </si>
  <si>
    <t xml:space="preserve">Build and Manage Effective Teams </t>
  </si>
  <si>
    <t>Communication within Teams</t>
  </si>
  <si>
    <t>Leading Inclusive Teams</t>
  </si>
  <si>
    <t>Setting Team and Employee Goals Using SMART Methodology</t>
  </si>
  <si>
    <t>Shane Snow on Dream Teams</t>
  </si>
  <si>
    <t>Top of Mind: Use Content to Unleash Your Influence (getAbstract Summary)</t>
  </si>
  <si>
    <t>Motivating Your Team to Learn</t>
  </si>
  <si>
    <t>Culture of Kaizen</t>
  </si>
  <si>
    <t>The Practices of High-Performing Employees</t>
  </si>
  <si>
    <t>Dealing with the Seven Deadly Wastes</t>
  </si>
  <si>
    <t>How to Give and Receive Useful Feedback Every Month</t>
  </si>
  <si>
    <t>The Six Morning Habits of High Performers</t>
  </si>
  <si>
    <t>Teamwork Foundations</t>
  </si>
  <si>
    <t>Creating a Culture of Learning</t>
  </si>
  <si>
    <t>Leading Remote Projects and Virtual Teams</t>
  </si>
  <si>
    <t>Hiring an Employee for Managers</t>
  </si>
  <si>
    <t>Leading Virtual Meetings</t>
  </si>
  <si>
    <t>Coaching and Developing Employees</t>
  </si>
  <si>
    <t>Improving Employee Performance</t>
  </si>
  <si>
    <t>Managing Teams</t>
  </si>
  <si>
    <t>Managing Virtual Teams</t>
  </si>
  <si>
    <t>Motivating and Engaging Employees</t>
  </si>
  <si>
    <t>Rewarding Employee Performance</t>
  </si>
  <si>
    <t>A Great Place to Work for All (getAbstract Summary)</t>
  </si>
  <si>
    <t>Why Motivating People Doesn’t Work . . . and What Does (getAbstract Summary)</t>
  </si>
  <si>
    <t>Business Chemistry (Blinkist Summary)</t>
  </si>
  <si>
    <t>Creating a Communications Strategy</t>
  </si>
  <si>
    <t>Supporting the Whole Self at Work, a Diversity and Inclusion Imperative</t>
  </si>
  <si>
    <t>Essentials of Team Collaboration</t>
  </si>
  <si>
    <t>Managing Remote Teams: Setting Expectations, Behaviors, and Habits</t>
  </si>
  <si>
    <t>Microsoft Teams: Successful Meetings and Events</t>
  </si>
  <si>
    <t>Building High-Performance Teams</t>
  </si>
  <si>
    <t>Developing Your Team Members</t>
  </si>
  <si>
    <t>Enhancing Team Innovation</t>
  </si>
  <si>
    <t>Facilitation Skills for Managers and Leaders</t>
  </si>
  <si>
    <t>Leading and Working in Teams</t>
  </si>
  <si>
    <t>Managing a Cross-Functional Team</t>
  </si>
  <si>
    <t>Managing a Diverse Team</t>
  </si>
  <si>
    <t>Managing Team Conflict</t>
  </si>
  <si>
    <t>Measuring Team Performance</t>
  </si>
  <si>
    <t>Practicing Fairness as a Manager</t>
  </si>
  <si>
    <t>Having Career Conversations with Your Team</t>
  </si>
  <si>
    <t>Managing for Better Ideas</t>
  </si>
  <si>
    <t>Building and Managing a High-Performing Sales Team</t>
  </si>
  <si>
    <t>Succeeding as a First-Time Tech Manager</t>
  </si>
  <si>
    <t>The Surprising Science of Meetings (getAbstract Summary)</t>
  </si>
  <si>
    <t>Creating Winning Teams</t>
  </si>
  <si>
    <t>Creating an Adaptable Team</t>
  </si>
  <si>
    <t>Leading a Customer Service Team</t>
  </si>
  <si>
    <t>Building Trust and Collaborating with Others</t>
  </si>
  <si>
    <t>Working in Harmony as a Senior Team</t>
  </si>
  <si>
    <t>Become an Inclusive Leader</t>
  </si>
  <si>
    <t>Cross-Functional Sales Teams</t>
  </si>
  <si>
    <t>Fostering Collaboration</t>
  </si>
  <si>
    <t>How to Build Rapport Quickly</t>
  </si>
  <si>
    <t>Become a Super-Collaborator</t>
  </si>
  <si>
    <t>Collaboration Principles and Process</t>
  </si>
  <si>
    <t>Communicating with Empathy</t>
  </si>
  <si>
    <t>Developing Self-Awareness</t>
  </si>
  <si>
    <t>Developing Your Emotional Intelligence</t>
  </si>
  <si>
    <t>Developing Your Professional Image</t>
  </si>
  <si>
    <t>Effective Listening</t>
  </si>
  <si>
    <t>Interpersonal Communication</t>
  </si>
  <si>
    <t>Professional Networking</t>
  </si>
  <si>
    <t>Working on a Cross-Functional Team</t>
  </si>
  <si>
    <t>Women Transforming Tech: Networking</t>
  </si>
  <si>
    <t>Social Success at Work</t>
  </si>
  <si>
    <t>The Surprising Power of Seeing People as People</t>
  </si>
  <si>
    <t>Inclusive Mindset for Committed Allies</t>
  </si>
  <si>
    <t>Supporting a Grieving Employee: A Manager's Guide</t>
  </si>
  <si>
    <t>How to Work with a Micromanager</t>
  </si>
  <si>
    <t>Communicating with Transparency</t>
  </si>
  <si>
    <t>Being an Effective Team Member</t>
  </si>
  <si>
    <t>Building Trust</t>
  </si>
  <si>
    <t>Collaborative Design: Managing a Team</t>
  </si>
  <si>
    <t>Giving and Receiving Feedback</t>
  </si>
  <si>
    <t>Improving Your Listening Skills</t>
  </si>
  <si>
    <t>What Are Your Blind Spots? (getAbstract Summary)</t>
  </si>
  <si>
    <t>Humble Leadership: The Power of Relationships, Openness, and Trust (getAbstract Summary)</t>
  </si>
  <si>
    <t>The Art of Connection: 7 Relationship-Building Skills Every Leader Needs Now (getAbstract Summary)</t>
  </si>
  <si>
    <t>Why Trust Matters with Rachel Botsman</t>
  </si>
  <si>
    <t>Dealing with Grief, Loss, and Change as an Employee</t>
  </si>
  <si>
    <t>Skills for Inclusive Conversations</t>
  </si>
  <si>
    <t>Leveraging Your Relationship Capital</t>
  </si>
  <si>
    <t>The Ultimate Guide to Professional Networking</t>
  </si>
  <si>
    <t>21 Opportunities for Better Networking</t>
  </si>
  <si>
    <t>Building Relationships While Working from Home</t>
  </si>
  <si>
    <t>How to Develop Friendships and Connect Meaningfully with Work Colleagues</t>
  </si>
  <si>
    <t>Creating a Connection Culture</t>
  </si>
  <si>
    <t>Business Collaboration in the Modern Workplace</t>
  </si>
  <si>
    <t>Communicating with Diplomacy and Tact</t>
  </si>
  <si>
    <t>Employee Experience</t>
  </si>
  <si>
    <t>Inclusive Leadership</t>
  </si>
  <si>
    <t>Grit: How Teams Persevere to Accomplish Great Goals</t>
  </si>
  <si>
    <t>Creating a Culture of Collaboration</t>
  </si>
  <si>
    <t>Empathy at Work</t>
  </si>
  <si>
    <t>Communication and Interpersonal Influence</t>
  </si>
  <si>
    <t>Advanced Business Development: Communication and Negotiation</t>
  </si>
  <si>
    <t>Crisis Communication for HR</t>
  </si>
  <si>
    <t>Improve Your Interoffice Politics Skills</t>
  </si>
  <si>
    <t>Strategic Negotiation</t>
  </si>
  <si>
    <t>Communicating with Confidence</t>
  </si>
  <si>
    <t>Communication Foundations</t>
  </si>
  <si>
    <t>Develop Your Communication and Interpersonal Influence Skills</t>
  </si>
  <si>
    <t>Influencing Others</t>
  </si>
  <si>
    <t>Learning to Be Approachable</t>
  </si>
  <si>
    <t>Managing Office Politics</t>
  </si>
  <si>
    <t>Negotiation Foundations</t>
  </si>
  <si>
    <t>Negotiation Skills</t>
  </si>
  <si>
    <t>Organization Communication</t>
  </si>
  <si>
    <t>Persuading Others</t>
  </si>
  <si>
    <t>Women Transforming Tech: Finding Sponsors</t>
  </si>
  <si>
    <t>Women Transforming Tech: Getting Strategic with Your Career</t>
  </si>
  <si>
    <t>Women Transforming Tech: Voices from the Field</t>
  </si>
  <si>
    <t>Own Your Voice: Improve Presentations and Executive Presence</t>
  </si>
  <si>
    <t>Communicating In the Language of Leadership</t>
  </si>
  <si>
    <t>Learning Webex Meetings</t>
  </si>
  <si>
    <t>Find Your Passion: How Padma Lakshmi Found Hers</t>
  </si>
  <si>
    <t>Jeffrey Gitomer’s Little Red Book of Sales Answers (getAbstract Summary)</t>
  </si>
  <si>
    <t>Crucial Conversations (getAbstract Summary)</t>
  </si>
  <si>
    <t>How to Crush Self-Doubt and Build Self-Confidence</t>
  </si>
  <si>
    <t>Becoming an Impactful and Influential Leader</t>
  </si>
  <si>
    <t>Key Psychological Principles for Ethical Persuasion</t>
  </si>
  <si>
    <t>The Power of Introverts</t>
  </si>
  <si>
    <t>The Science of Compassion: The Upward Spiral of Compassion</t>
  </si>
  <si>
    <t>The Science of Compassion: Getting Started</t>
  </si>
  <si>
    <t>Inspirational Leadership Skills: Practical Motivational Leadership</t>
  </si>
  <si>
    <t>Presenting Technical Information with Stories</t>
  </si>
  <si>
    <t>Building Business Relationships</t>
  </si>
  <si>
    <t>Selling to Executives</t>
  </si>
  <si>
    <t>Evil by Design: Persuasion in UX</t>
  </si>
  <si>
    <t>Starting a Memorable Conversation</t>
  </si>
  <si>
    <t>Asserting Yourself, an Empowered Choice</t>
  </si>
  <si>
    <t>How to Create and Run a Brilliant Remote Workshop</t>
  </si>
  <si>
    <t>Zoom: Leading Effective and Engaging Calls</t>
  </si>
  <si>
    <t>Body Language for Leaders</t>
  </si>
  <si>
    <t>Complete Confidence in Minutes: Weekly</t>
  </si>
  <si>
    <t>Communicating Internally during Times of Uncertainty</t>
  </si>
  <si>
    <t>Preparing to Interview for a Creative Role</t>
  </si>
  <si>
    <t>How to Own a Room</t>
  </si>
  <si>
    <t>Difficult Conversations: Talking About Race at Work</t>
  </si>
  <si>
    <t>Speaking Up At Work</t>
  </si>
  <si>
    <t>Difficult Conversations about Politics at Work</t>
  </si>
  <si>
    <t>17 PR Mistakes to Avoid</t>
  </si>
  <si>
    <t>The Step-by-Step Guide to Building your Thought Leadership on LinkedIn</t>
  </si>
  <si>
    <t>Listen to Lead</t>
  </si>
  <si>
    <t>Having Powerful, Advanced Conversations</t>
  </si>
  <si>
    <t>Managing Your Emotions at Work</t>
  </si>
  <si>
    <t>Complex Negotiation Tips</t>
  </si>
  <si>
    <t>Preparing for Successful Communication</t>
  </si>
  <si>
    <t>Navigating Politics as a Senior Leader</t>
  </si>
  <si>
    <t>Leading with Kindness and Strength</t>
  </si>
  <si>
    <t>Leading from the Middle</t>
  </si>
  <si>
    <t>Successful Networking</t>
  </si>
  <si>
    <t>Building Your Visibility as a Leader</t>
  </si>
  <si>
    <t>Conflict Management and Conflict Resolution</t>
  </si>
  <si>
    <t>Crisis Communication</t>
  </si>
  <si>
    <t>De-Escalating Intense Situations</t>
  </si>
  <si>
    <t>How to Proactively Manage Conflict as an Employee</t>
  </si>
  <si>
    <t>How to Resolve Conflict and Boost Productivity through Deep Listening</t>
  </si>
  <si>
    <t xml:space="preserve">Develop Conflict Management and Resolution Skills </t>
  </si>
  <si>
    <t>Conflict Resolution Foundations</t>
  </si>
  <si>
    <t>Fred Kofman on Managing Conflict</t>
  </si>
  <si>
    <t>Having Difficult Conversations</t>
  </si>
  <si>
    <t>Improving Your Conflict Competence</t>
  </si>
  <si>
    <t>Jeff Weiner on Managing Compassionately</t>
  </si>
  <si>
    <t>Dealing with Difficult People in Your Office</t>
  </si>
  <si>
    <t>Difficult Situations: Solutions for Managers</t>
  </si>
  <si>
    <t>Delivering Bad News Effectively</t>
  </si>
  <si>
    <t>Managing Conflict: A Practical Guide to Resolution in the Workplace (getAbstract Summary)</t>
  </si>
  <si>
    <t>Going to Extremes: How Like Minds Unite and Divide (getAbstract Summary)</t>
  </si>
  <si>
    <t>Leading in Crisis</t>
  </si>
  <si>
    <t>Marketing During a Crisis</t>
  </si>
  <si>
    <t>How to Give Negative Feedback to Senior Colleagues</t>
  </si>
  <si>
    <t>Human Resources: Managing Employee Problems</t>
  </si>
  <si>
    <t>Leading through Relationships</t>
  </si>
  <si>
    <t>Managing Employee Performance Problems</t>
  </si>
  <si>
    <t>Managing in Difficult Times</t>
  </si>
  <si>
    <t>Having Difficult Conversations: A Guide for Managers</t>
  </si>
  <si>
    <t>Working with High-Conflict People as a Manager</t>
  </si>
  <si>
    <t>Managing Misconduct in the Workplace</t>
  </si>
  <si>
    <t>Content Marketing, Digital Marketing, and Marketing Strategies</t>
  </si>
  <si>
    <t>Building an Integrated Online Marketing Plan</t>
  </si>
  <si>
    <t>Advanced SEO: Search Factors</t>
  </si>
  <si>
    <t>Advanced Product Marketing</t>
  </si>
  <si>
    <t>Become a Digital Marketing Specialist</t>
  </si>
  <si>
    <t>Lead Generation: Social Media</t>
  </si>
  <si>
    <t>Become a Marketing Coordinator</t>
  </si>
  <si>
    <t>Advanced Google Analytics</t>
  </si>
  <si>
    <t>Advertising on Facebook: Advanced</t>
  </si>
  <si>
    <t>Advanced Content Marketing</t>
  </si>
  <si>
    <t>Advanced Google Ads</t>
  </si>
  <si>
    <t>SEO: Link Building</t>
  </si>
  <si>
    <t>B2B Foundations: Social Media Marketing</t>
  </si>
  <si>
    <t>Digital Marketing Trends</t>
  </si>
  <si>
    <t>Growth Hacking Foundations</t>
  </si>
  <si>
    <t>Develop Your Marketing Skills</t>
  </si>
  <si>
    <t>Jonah Berger on Viral Marketing</t>
  </si>
  <si>
    <t>Lifecycle Marketing Foundations</t>
  </si>
  <si>
    <t>Marketing Foundations: International Marketing</t>
  </si>
  <si>
    <t>Marketing Your Side Hustle</t>
  </si>
  <si>
    <t>Marketing Tips</t>
  </si>
  <si>
    <t>Marketing to Humans</t>
  </si>
  <si>
    <t>Mobile Marketing Foundations</t>
  </si>
  <si>
    <t>Online Marketing Foundations</t>
  </si>
  <si>
    <t>Power BI for Marketers</t>
  </si>
  <si>
    <t>SEO Foundations</t>
  </si>
  <si>
    <t>Setting a Marketing Budget</t>
  </si>
  <si>
    <t>Marketing on LinkedIn: The Sophisticated Marketer's Guide</t>
  </si>
  <si>
    <t>Building a Creative Online Community</t>
  </si>
  <si>
    <t>Social Media Video for Business and Marketing</t>
  </si>
  <si>
    <t>Positioning Your Product or Service</t>
  </si>
  <si>
    <t>Marketing Programs that Power Customer Acquisition</t>
  </si>
  <si>
    <t>Creating Marketing Objectives</t>
  </si>
  <si>
    <t>Determining Market Size for Your Product or Service</t>
  </si>
  <si>
    <t>Social Media Marketing Tips</t>
  </si>
  <si>
    <t>Marketing Tools: Social Media</t>
  </si>
  <si>
    <t>Marketing Foundations: Automation</t>
  </si>
  <si>
    <t>Advertising on Facebook</t>
  </si>
  <si>
    <t>Content Marketing: Newsletters</t>
  </si>
  <si>
    <t>Identifying Your Target Market</t>
  </si>
  <si>
    <t>Market Research Foundations</t>
  </si>
  <si>
    <t>Social Media Marketing: ROI</t>
  </si>
  <si>
    <t>Marketing Foundations</t>
  </si>
  <si>
    <t>Shopify Ecommerce for Marketers</t>
  </si>
  <si>
    <t>Learning Mailchimp</t>
  </si>
  <si>
    <t>Marketing and Monetizing on YouTube</t>
  </si>
  <si>
    <t>Content Marketing Foundations</t>
  </si>
  <si>
    <t>Learning Google AdSense</t>
  </si>
  <si>
    <t>Advertising on Twitter</t>
  </si>
  <si>
    <t>Social Media Marketing Foundations</t>
  </si>
  <si>
    <t>Branding Foundations</t>
  </si>
  <si>
    <t>Marketing to Generation Z</t>
  </si>
  <si>
    <t>Marketing Tools: Digital Marketing</t>
  </si>
  <si>
    <t>Content Marketing for Social Media</t>
  </si>
  <si>
    <t>Marketing on Instagram</t>
  </si>
  <si>
    <t>Introduction to Social Media Strategy</t>
  </si>
  <si>
    <t>Small Business Marketing</t>
  </si>
  <si>
    <t>Marketing Tools: Automation</t>
  </si>
  <si>
    <t>Marketing Analytics: Setting and Measuring KPIs</t>
  </si>
  <si>
    <t>Building a Winning Enterprise Marketing Strategy</t>
  </si>
  <si>
    <t>Marketing Foundations: Consumer Behavior</t>
  </si>
  <si>
    <t>Creating and Managing a YouTube Channel</t>
  </si>
  <si>
    <t>Streaming with LinkedIn Live</t>
  </si>
  <si>
    <t>Business Analytics: Marketing Data</t>
  </si>
  <si>
    <t>Creating an Editorial Calendar</t>
  </si>
  <si>
    <t>Affiliate Marketing Foundations</t>
  </si>
  <si>
    <t>Programmatic Advertising Foundations</t>
  </si>
  <si>
    <t>International SEO</t>
  </si>
  <si>
    <t>Marketing: Customer Segmentation</t>
  </si>
  <si>
    <t>Marketing on Facebook</t>
  </si>
  <si>
    <t>Creating a Buzz</t>
  </si>
  <si>
    <t>Direct Mail Marketing</t>
  </si>
  <si>
    <t>Developing a YouTube Strategy</t>
  </si>
  <si>
    <t>Designing an Authentic Brand</t>
  </si>
  <si>
    <t>Marketing on Twitter</t>
  </si>
  <si>
    <t>International Marketing Foundations</t>
  </si>
  <si>
    <t>Learning Logo Design</t>
  </si>
  <si>
    <t>Creating Social Content with Adobe Animate CC</t>
  </si>
  <si>
    <t>Social Media for Video Pros</t>
  </si>
  <si>
    <t>Social Media Marketing for Small Business</t>
  </si>
  <si>
    <t>Social Media Marketing with Facebook and Twitter</t>
  </si>
  <si>
    <t>Introduction to Content Marketing</t>
  </si>
  <si>
    <t>Marketing Virtual Events</t>
  </si>
  <si>
    <t>SEO: Ecommerce Strategies</t>
  </si>
  <si>
    <t>How to Tell Stories That Win Market Share</t>
  </si>
  <si>
    <t>The 22 Immutable Laws of Branding (Blinkist Summary)</t>
  </si>
  <si>
    <t>Disruptive Branding (Blinkist Summary)</t>
  </si>
  <si>
    <t>Artificial Intelligence for Marketing</t>
  </si>
  <si>
    <t>Social Media Marketing Trends</t>
  </si>
  <si>
    <t>B2B Marketing Foundations: Positioning</t>
  </si>
  <si>
    <t>Building Your Marketing Technology Stack</t>
  </si>
  <si>
    <t>Social Media Marketing: Social CRM</t>
  </si>
  <si>
    <t>The Data Science of Marketing</t>
  </si>
  <si>
    <t>Advertising on Pinterest</t>
  </si>
  <si>
    <t>Advertising on YouTube</t>
  </si>
  <si>
    <t>Master the Strategies, Methods, and Metrics of Champion Marketers</t>
  </si>
  <si>
    <t>Building and Managing Signature Products</t>
  </si>
  <si>
    <t>Social Media Monitoring: Strategies and Skills</t>
  </si>
  <si>
    <t>B2B Marketing on LinkedIn</t>
  </si>
  <si>
    <t>Content Marketing: ROI</t>
  </si>
  <si>
    <t>Marketing: Conversion Rate Optimization</t>
  </si>
  <si>
    <t>Email Marketing: Strategy and Optimization</t>
  </si>
  <si>
    <t>Create a Go-to-Market Plan</t>
  </si>
  <si>
    <t>Marketing Tools: SEO</t>
  </si>
  <si>
    <t>Growth Hacking Tips</t>
  </si>
  <si>
    <t>Improve SEO for Your Ecommerce Site</t>
  </si>
  <si>
    <t>Social Media Marketing: Strategy and Optimization</t>
  </si>
  <si>
    <t>SEO: Keyword Strategy</t>
  </si>
  <si>
    <t>SEO: Videos</t>
  </si>
  <si>
    <t>SEO for Social Media</t>
  </si>
  <si>
    <t>Aligning Sales and Marketing</t>
  </si>
  <si>
    <t>Python for Marketing</t>
  </si>
  <si>
    <t>Advertising on Instagram</t>
  </si>
  <si>
    <t>17 Questions to Help Improve Your Marketing</t>
  </si>
  <si>
    <t>Employer Branding on LinkedIn</t>
  </si>
  <si>
    <t>Start a Marketing Business: Concept to Launch</t>
  </si>
  <si>
    <t>Creative Thinking and Innovation</t>
  </si>
  <si>
    <t>Building Creative Organizations</t>
  </si>
  <si>
    <t>Creative Thinking</t>
  </si>
  <si>
    <t>Creativity Bootcamp</t>
  </si>
  <si>
    <t>Jeff Dyer on Innovation</t>
  </si>
  <si>
    <t>Develop Your Creative Thinking and Innovation Skills</t>
  </si>
  <si>
    <t>Learning Brainstorming</t>
  </si>
  <si>
    <t>Take a More Creative Approach to Problem-Solving</t>
  </si>
  <si>
    <t>The Five-Step Creative Process</t>
  </si>
  <si>
    <t>Working with Creatives</t>
  </si>
  <si>
    <t>Mission and Vision Statements Explained</t>
  </si>
  <si>
    <t>Icebreakers for Teams, Meetings, and Groups</t>
  </si>
  <si>
    <t>How Getting Curious Helps You Achieve Everything</t>
  </si>
  <si>
    <t>Introduction to Responsible AI Algorithm Design</t>
  </si>
  <si>
    <t>How Blockchains Will Change Business</t>
  </si>
  <si>
    <t>Design Thinking: Implementing the Process</t>
  </si>
  <si>
    <t>Charles Adler: A Story of Kickstarting an Idea</t>
  </si>
  <si>
    <t>Practical Creativity for Everyone</t>
  </si>
  <si>
    <t>Graphic Design Foundations: Ideas, Concepts, and Form</t>
  </si>
  <si>
    <t>Applied Curiosity</t>
  </si>
  <si>
    <t>Creativity: Generate Ideas in Greater Quantity and Quality</t>
  </si>
  <si>
    <t>Ideas that Resonate</t>
  </si>
  <si>
    <t>Leading with Innovation</t>
  </si>
  <si>
    <t>How to Boost Your Creativity at Home in 10 Days</t>
  </si>
  <si>
    <t>21-Day Creative Exercise Desk Challenge</t>
  </si>
  <si>
    <t>Mapping Innovation: A Playbook for Navigating a Disruptive Age (getAbstract Summary)</t>
  </si>
  <si>
    <t>Leading like a Futurist</t>
  </si>
  <si>
    <t>Banish Your Inner Critic to Unleash Creativity</t>
  </si>
  <si>
    <t>Implementing Creative Feedback the Win-Win Way</t>
  </si>
  <si>
    <t>Defining Your Creative Edge to Promote Your Work</t>
  </si>
  <si>
    <t>Unlocking Creativity (Blinkist Summary)</t>
  </si>
  <si>
    <t>Design Thinking: Understanding the Process</t>
  </si>
  <si>
    <t>UX Deep Dive: Remote Research</t>
  </si>
  <si>
    <t>Driving Innovation: A Leader's Guide to Ownership and Accountability for Creative Teams</t>
  </si>
  <si>
    <t>Creativity and Learning: A Conversation with Lynda Barry</t>
  </si>
  <si>
    <t>Service Innovation</t>
  </si>
  <si>
    <t>Using Questions to Foster Critical Thinking and Curiosity</t>
  </si>
  <si>
    <t>Psychological Safety: Clear Blocks to Innovation, Collaboration, and Risk-Taking</t>
  </si>
  <si>
    <t>Balancing Innovation and Risk</t>
  </si>
  <si>
    <t>Managing Innovation</t>
  </si>
  <si>
    <t>The Definitive Drucker (getAbstract Summary)</t>
  </si>
  <si>
    <t>Critical Thinking, Decision Making, and Problem Solving</t>
  </si>
  <si>
    <t>Critical Thinking for Better Judgment and Decision-Making</t>
  </si>
  <si>
    <t>Improve Your Problem-Solving Skills</t>
  </si>
  <si>
    <t>Privacy in the New World of Work</t>
  </si>
  <si>
    <t>The Undercover Economist: The Economics behind Everyday Decisions (Blinkist Summary)</t>
  </si>
  <si>
    <t xml:space="preserve">Develop Critical-Thinking, Decision-Making, and Problem-Solving Skills </t>
  </si>
  <si>
    <t>Decision-Making Strategies</t>
  </si>
  <si>
    <t>Problem Solving Techniques</t>
  </si>
  <si>
    <t>Process Improvement Foundations</t>
  </si>
  <si>
    <t>Simplifying Business Processes</t>
  </si>
  <si>
    <t>Successful Goal Setting</t>
  </si>
  <si>
    <t>Crafting Problem and Solution Statements</t>
  </si>
  <si>
    <t>Improving Your Judgment for Better Decision-Making</t>
  </si>
  <si>
    <t>Making Better Decisions by Thinking in Bets</t>
  </si>
  <si>
    <t>Overcoming Cognitive Bias</t>
  </si>
  <si>
    <t>Improving Your Thinking</t>
  </si>
  <si>
    <t>Making Quick Decisions</t>
  </si>
  <si>
    <t>Project Management: Solving Common Project Problems</t>
  </si>
  <si>
    <t>Decision-Making in High-Stress Situations</t>
  </si>
  <si>
    <t>Customer Focus</t>
  </si>
  <si>
    <t>Customer Service Leadership</t>
  </si>
  <si>
    <t>Become a Customer Service Manager</t>
  </si>
  <si>
    <t>Calculating the Value and ROI of Customer Service</t>
  </si>
  <si>
    <t>Become a Customer Service Specialist</t>
  </si>
  <si>
    <t>Winning Back a Lost Customer</t>
  </si>
  <si>
    <t>Journey Mapping: Case Study in Action</t>
  </si>
  <si>
    <t xml:space="preserve">Develop Your Customer Service Skills </t>
  </si>
  <si>
    <t>Building Rapport with Customers</t>
  </si>
  <si>
    <t>Customer Service Foundations</t>
  </si>
  <si>
    <t>Customer Service: Writing for Social Media</t>
  </si>
  <si>
    <t>Delivering Bad News to a Customer</t>
  </si>
  <si>
    <t>IT Service Desk: Customer Service Fundamentals</t>
  </si>
  <si>
    <t>Listening to Customers</t>
  </si>
  <si>
    <t>Customer Service: Managing Customer Expectations</t>
  </si>
  <si>
    <t>Thomas A. Stewart and Patricia O'Connell on Designing and Delivering Great Customer Experience</t>
  </si>
  <si>
    <t>Writing Customer Service Emails</t>
  </si>
  <si>
    <t>Selling Strategies that Boost Customer Acquisition</t>
  </si>
  <si>
    <t>Using Thought Leadership for Customer Acquisition</t>
  </si>
  <si>
    <t>Ecommerce Fundamentals</t>
  </si>
  <si>
    <t>Empathy for Customer Service Professionals</t>
  </si>
  <si>
    <t>Customer Success Management Fundamentals</t>
  </si>
  <si>
    <t>Value Realization Best Practices for Customer Success Management</t>
  </si>
  <si>
    <t>Avoiding Common Pitfalls in Customer Success Management</t>
  </si>
  <si>
    <t>Onboarding and Adoption Best Practices for Customer Success Management</t>
  </si>
  <si>
    <t>Engagement Preparation Best Practices for Customer Success Management</t>
  </si>
  <si>
    <t>Engagement Evaluation Best Practices for Customer Success Management</t>
  </si>
  <si>
    <t>Business Fundamentals for Customer Success Managers</t>
  </si>
  <si>
    <t>Customer Service and Support During Economic Downturns</t>
  </si>
  <si>
    <t>Data Ethics: Managing Your Private Customer Data</t>
  </si>
  <si>
    <t>Empathy in UX Design</t>
  </si>
  <si>
    <t>Customer Retention</t>
  </si>
  <si>
    <t>Customer Service in the Field</t>
  </si>
  <si>
    <t>Customer Service: Handling Abusive Customers</t>
  </si>
  <si>
    <t>Customer Service: Managing Customer Feedback</t>
  </si>
  <si>
    <t>Customer Service: Problem Solving and Troubleshooting</t>
  </si>
  <si>
    <t>Customer Service: Serving Internal Customers</t>
  </si>
  <si>
    <t>Developing a Service Mindset</t>
  </si>
  <si>
    <t>Data Driven: Harnessing Data and AI to Reinvent Customer Engagement (getAbstract Summary)</t>
  </si>
  <si>
    <t>Just Ask: Dean Karrel on Sales</t>
  </si>
  <si>
    <t>Building Customer Loyalty</t>
  </si>
  <si>
    <t>Creating a Positive Customer Experience</t>
  </si>
  <si>
    <t>Creating Positive Conversations with Challenging Customers</t>
  </si>
  <si>
    <t>Customer Advocacy</t>
  </si>
  <si>
    <t>Customer Experience: Journey Mapping</t>
  </si>
  <si>
    <t>Customer Service: Motivating Your Team</t>
  </si>
  <si>
    <t>Customer Service: Preventing Turnover</t>
  </si>
  <si>
    <t>Innovative Customer Service Techniques</t>
  </si>
  <si>
    <t>Leading a Customer-Centric Culture</t>
  </si>
  <si>
    <t>Managing a Customer Service Team</t>
  </si>
  <si>
    <t>Managing Customer Expectations for Managers</t>
  </si>
  <si>
    <t>Service Metrics for Customer Service</t>
  </si>
  <si>
    <t>Using Customer Surveys to Improve Service</t>
  </si>
  <si>
    <t>Working with Upset Customers</t>
  </si>
  <si>
    <t>Aligning Customer Experience with Company Culture</t>
  </si>
  <si>
    <t>Customer Service Using AI and Machine Learning</t>
  </si>
  <si>
    <t>Customer Service: Serving Customers Through Chat and Text</t>
  </si>
  <si>
    <t>Making Business Videos for Customers</t>
  </si>
  <si>
    <t>Serving Customers Using Social Media</t>
  </si>
  <si>
    <t>Data Analysis</t>
  </si>
  <si>
    <t>Business Analytics: Forecasting with Exponential Smoothing</t>
  </si>
  <si>
    <t>Advance Your Skills in Predictive Analytics</t>
  </si>
  <si>
    <t>Become a Business Analyst</t>
  </si>
  <si>
    <t>Machine Learning &amp; AI: Advanced Decision Trees</t>
  </si>
  <si>
    <t>Become a Data Analyst</t>
  </si>
  <si>
    <t>Apache Flink: Exploratory Data Analytics with SQL</t>
  </si>
  <si>
    <t>Become a Data Analytics Specialist</t>
  </si>
  <si>
    <t>Data-Driven Learning Design</t>
  </si>
  <si>
    <t>Become a Data Scientist</t>
  </si>
  <si>
    <t>Excel VBA: Managing Files and Data</t>
  </si>
  <si>
    <t>Data Science Foundations: Fundamentals</t>
  </si>
  <si>
    <t>LinkedIn Learning Highlights: Data Science and Analytics</t>
  </si>
  <si>
    <t xml:space="preserve">Develop Your Data Analysis Skills </t>
  </si>
  <si>
    <t>Tech Ethics: Avoiding Unintended Consequences</t>
  </si>
  <si>
    <t>Power BI: Dashboards for Beginners</t>
  </si>
  <si>
    <t>15 Tips for Landing a Data Science Job</t>
  </si>
  <si>
    <t>The Data Science of Media and Entertainment with Barton Poulson</t>
  </si>
  <si>
    <t>The Data Science of Government and Political Science, with Barton Poulson</t>
  </si>
  <si>
    <t>The Data Science of Retail, Sales, and Commerce</t>
  </si>
  <si>
    <t>Business Analysis Foundations: Business Process Modeling</t>
  </si>
  <si>
    <t>Business Analysis Foundations: Competencies</t>
  </si>
  <si>
    <t>Business Analysis: Business Benefits Realization</t>
  </si>
  <si>
    <t>Data Fluency: Exploring and Describing Data</t>
  </si>
  <si>
    <t>Data Science Tools of the Trade: First Steps</t>
  </si>
  <si>
    <t>Database Foundations: Creating and Manipulating Data</t>
  </si>
  <si>
    <t>Excel Statistics Essential Training: 1</t>
  </si>
  <si>
    <t>Insights on Data Science: Lillian Pierson</t>
  </si>
  <si>
    <t>Learning Data Analytics</t>
  </si>
  <si>
    <t>Learning Data Science: Tell Stories With Data</t>
  </si>
  <si>
    <t>Learning Data Science: Understanding the Basics</t>
  </si>
  <si>
    <t>Learning Data Visualization</t>
  </si>
  <si>
    <t>Learning Excel: Data Analysis</t>
  </si>
  <si>
    <t>Learning Information Governance</t>
  </si>
  <si>
    <t>Learning Relational Databases</t>
  </si>
  <si>
    <t>SQL for Exploratory Data Analysis Essential Training</t>
  </si>
  <si>
    <t>Statistics Foundations: 1</t>
  </si>
  <si>
    <t>Studying for the Certified Business Analysis Professional (CBAP)®</t>
  </si>
  <si>
    <t>Introducing AI to Your Organization</t>
  </si>
  <si>
    <t>SAS® 9.4 Cert Prep: Part 05 Analyzing and Reporting on Data</t>
  </si>
  <si>
    <t>Introduction to Business Analytics</t>
  </si>
  <si>
    <t>Data Ethics: Making Data-Driven Decisions</t>
  </si>
  <si>
    <t>Tableau Essential Training (2020.1)</t>
  </si>
  <si>
    <t>Business Analytics: Sales Data</t>
  </si>
  <si>
    <t>The Data Game of Fantasy Football</t>
  </si>
  <si>
    <t>Learning Public Data Sets</t>
  </si>
  <si>
    <t>SPSS Statistics Essential Training</t>
  </si>
  <si>
    <t>R Essential Training: Wrangling and Visualizing Data</t>
  </si>
  <si>
    <t>Cloud Hadoop: Scaling Apache Spark</t>
  </si>
  <si>
    <t>The Non-Technical Skills of Effective Data Scientists</t>
  </si>
  <si>
    <t>Data Science Foundations: Data Engineering</t>
  </si>
  <si>
    <t>Data Science Foundations: Data Mining</t>
  </si>
  <si>
    <t>Excel Statistics Essential Training: 2</t>
  </si>
  <si>
    <t>Statistics Foundations: 2</t>
  </si>
  <si>
    <t>R Essential Training Part 2: Modeling Data</t>
  </si>
  <si>
    <t>How to Perform Business Analysis in a Virtual Environment</t>
  </si>
  <si>
    <t>Analyzing Big Data with Hive</t>
  </si>
  <si>
    <t>Business Analytics Foundations: Descriptive, Exploratory, and Explanatory Analytics</t>
  </si>
  <si>
    <t>Business Analytics Foundations: Predictive, Prescriptive, and Experimental Analytics</t>
  </si>
  <si>
    <t>Data Visualization Tips and Tricks</t>
  </si>
  <si>
    <t>Design Thinking: Data Intelligence</t>
  </si>
  <si>
    <t>Excel 2016: Managing and Analyzing Data</t>
  </si>
  <si>
    <t>Excel Data Analysis: Forecasting</t>
  </si>
  <si>
    <t>Excel: Charts in Depth</t>
  </si>
  <si>
    <t>Financial Analysis: Analyzing the Bottom Line with Excel</t>
  </si>
  <si>
    <t>15 Mistakes to Avoid in Data Science</t>
  </si>
  <si>
    <t>UX Deep Dive: Analyzing Data</t>
  </si>
  <si>
    <t>Lessons from Data Scientists</t>
  </si>
  <si>
    <t>Data Visualization: Storytelling</t>
  </si>
  <si>
    <t>Excel Supply Chain Analysis: Solving Transportation Problems</t>
  </si>
  <si>
    <t>Financial Analysis: Analyzing the Top Line with Excel</t>
  </si>
  <si>
    <t>Financial Analysis: Making Business Projections</t>
  </si>
  <si>
    <t>Meta-analysis for Data Science and Business Analytics</t>
  </si>
  <si>
    <t>NoSQL Data Modeling Essential Training</t>
  </si>
  <si>
    <t>Statistics Foundations: 3</t>
  </si>
  <si>
    <t>Telling Stories with Data</t>
  </si>
  <si>
    <t>Power BI Data Modeling with DAX</t>
  </si>
  <si>
    <t>Big Data Analytics with Hadoop and Apache Spark</t>
  </si>
  <si>
    <t>Text Analytics and Predictions with R Essential Training</t>
  </si>
  <si>
    <t>Data Dashboards in Power BI</t>
  </si>
  <si>
    <t>Power BI Data Methods</t>
  </si>
  <si>
    <t>Using Python with Excel</t>
  </si>
  <si>
    <t>Python for Data Visualization</t>
  </si>
  <si>
    <t>SQL: Data Reporting and Analysis</t>
  </si>
  <si>
    <t>Power BI Dataflows Essential Training</t>
  </si>
  <si>
    <t>SAP ERP: Beyond the Basics</t>
  </si>
  <si>
    <t>Tableau and R for Analytics Projects</t>
  </si>
  <si>
    <t>ABAP for SAP Users</t>
  </si>
  <si>
    <t>Review and Manage the SAP MRP List</t>
  </si>
  <si>
    <t>AI in Business Essential Training</t>
  </si>
  <si>
    <t>AI in Fintech Essential Training</t>
  </si>
  <si>
    <t>Excel: Avoiding Common Mistakes (Office 365/Excel 2019)</t>
  </si>
  <si>
    <t>The Data Science of Experimental Design</t>
  </si>
  <si>
    <t>Side Hustle Strategies for Data Science and Analytics Experts</t>
  </si>
  <si>
    <t>PostgreSQL Essential Training</t>
  </si>
  <si>
    <t>Data Visualization for Data Analysis and Analytics</t>
  </si>
  <si>
    <t>Designing, Training, and Instructing Courses</t>
  </si>
  <si>
    <t>Develop Your Course Design and Instructional Skills</t>
  </si>
  <si>
    <t>Using Neuroscience for More Effective L&amp;D</t>
  </si>
  <si>
    <t>Learning Articulate Rise</t>
  </si>
  <si>
    <t>Camtasia 2019 for Mac Essential Training</t>
  </si>
  <si>
    <t>Graphic Design Careers: First Steps</t>
  </si>
  <si>
    <t>Creating Fun and Engaging Video Training: The How</t>
  </si>
  <si>
    <t>Creating Fun and Engaging Video Training: The Why</t>
  </si>
  <si>
    <t>Build Your Own Professional Training: Quick Start Guide</t>
  </si>
  <si>
    <t>Using Humor In Training to Engage Your Audience</t>
  </si>
  <si>
    <t>Articulate Storyline Essential Training</t>
  </si>
  <si>
    <t>Learning to Teach Online</t>
  </si>
  <si>
    <t>Learning Moodle 3.9</t>
  </si>
  <si>
    <t>How to Turn Your Entrepreneur Journey into a Successful Keynote Talk</t>
  </si>
  <si>
    <t>Empathy in Business: Design for Success</t>
  </si>
  <si>
    <t>Pivoting to Virtual Events</t>
  </si>
  <si>
    <t>Cert Prep: Adobe Certified Associate - InDesign</t>
  </si>
  <si>
    <t>Design Thinking at Work (getAbstract Summary)</t>
  </si>
  <si>
    <t>StoryTraining: Selecting and Shaping Stories That Connect (getAbstract Summary)</t>
  </si>
  <si>
    <t>Color Trends</t>
  </si>
  <si>
    <t>Technology and Design Ethics</t>
  </si>
  <si>
    <t>Running a Design Business: Writing and Pricing Winning Proposals</t>
  </si>
  <si>
    <t>The Future of Workplace Learning</t>
  </si>
  <si>
    <t>Articulate Storyline 360: Advanced Elearning</t>
  </si>
  <si>
    <t>Camtasia 2019 Essential Training: Advanced Techniques</t>
  </si>
  <si>
    <t>Designing a Training Program: Setting Goals, Objectives, and Mediums</t>
  </si>
  <si>
    <t>Elearning Tips</t>
  </si>
  <si>
    <t>Practical Success Metrics in Your Training Program</t>
  </si>
  <si>
    <t>Interaction Design: Interface</t>
  </si>
  <si>
    <t>Applied Interaction Design: Managing Comments</t>
  </si>
  <si>
    <t>Adobe Captivate: Advanced Actions</t>
  </si>
  <si>
    <t>Converting Face-to-Face Training into Digital Learning</t>
  </si>
  <si>
    <t>Articulate Storyline Quick Tips</t>
  </si>
  <si>
    <t>20 Questions to Improve Learning at Your Organization</t>
  </si>
  <si>
    <t>Financial and Accounting Knowledge</t>
  </si>
  <si>
    <t>Become a Financial Analyst</t>
  </si>
  <si>
    <t>Accounting Foundations: Asset Impairment</t>
  </si>
  <si>
    <t>The Five-step Guide to Mastering Your Money</t>
  </si>
  <si>
    <t>Financial Adulting</t>
  </si>
  <si>
    <t>Develop Your Finance and Accounting Skills</t>
  </si>
  <si>
    <t>SAP ERP Essential Training</t>
  </si>
  <si>
    <t>Accounting Foundations</t>
  </si>
  <si>
    <t>Accounting Foundations: Bookkeeping</t>
  </si>
  <si>
    <t>Accounting Foundations: Budgeting</t>
  </si>
  <si>
    <t>Audit and Due Diligence Foundations</t>
  </si>
  <si>
    <t>Business Tax Foundations</t>
  </si>
  <si>
    <t>Finance Foundations</t>
  </si>
  <si>
    <t>Finance Foundations: Income Taxes</t>
  </si>
  <si>
    <t>Running a Profitable Business: Understanding Cash Flow</t>
  </si>
  <si>
    <t>Running a Profitable Business: Understanding Financial Ratios</t>
  </si>
  <si>
    <t>The Data Science of Economics, Banking, and Finance, with Barton Poulson</t>
  </si>
  <si>
    <t>Teaching Your Kids About Finance</t>
  </si>
  <si>
    <t>Finance Foundations for Solopreneurs</t>
  </si>
  <si>
    <t>Understanding Capital Markets</t>
  </si>
  <si>
    <t>QuickBooks Online Essential Training</t>
  </si>
  <si>
    <t>Foundations of Managerial Accounting</t>
  </si>
  <si>
    <t>Corporate Finance Foundations</t>
  </si>
  <si>
    <t>Financial Accounting Foundations</t>
  </si>
  <si>
    <t>Behavioral Finance Foundations</t>
  </si>
  <si>
    <t>Analyzing a Real Estate Deal</t>
  </si>
  <si>
    <t>QuickBooks Payroll Essential Training</t>
  </si>
  <si>
    <t>Business Financials Explained</t>
  </si>
  <si>
    <t>Income Statement (P&amp;L) and Cash Flow Explained</t>
  </si>
  <si>
    <t>Economics for Everyone: Understanding a Recession</t>
  </si>
  <si>
    <t>Developing Investment Acumen</t>
  </si>
  <si>
    <t>Activity-Based Costing</t>
  </si>
  <si>
    <t>Corporate Financial Statement Analysis</t>
  </si>
  <si>
    <t>Financial Record Keeping</t>
  </si>
  <si>
    <t>Recovering from a Financial Setback</t>
  </si>
  <si>
    <t>Financial Basics Everyone Should Know</t>
  </si>
  <si>
    <t>Lean Accounting Foundations</t>
  </si>
  <si>
    <t>Economics for Business Leaders</t>
  </si>
  <si>
    <t>Finance Strategies for Business Leaders</t>
  </si>
  <si>
    <t>SAP Business One: Finance and Banking</t>
  </si>
  <si>
    <t>Corporate Finance: Profitability in a Financial Downturn</t>
  </si>
  <si>
    <t>Accounting Foundations: Managerial Accounting</t>
  </si>
  <si>
    <t>Finance for Non-Financial Managers</t>
  </si>
  <si>
    <t>Financial Analysis: Introduction to Business Performance Analysis</t>
  </si>
  <si>
    <t>Financial Forecasting with Big Data</t>
  </si>
  <si>
    <t>Forecasting Using Financial Statements</t>
  </si>
  <si>
    <t>Protecting Profitability by Reducing Financial Risk</t>
  </si>
  <si>
    <t>Using the Time Value of Money to Make Financial Decisions</t>
  </si>
  <si>
    <t>Financial Modeling and Forecasting Financial Statements</t>
  </si>
  <si>
    <t>Accounting Foundations: Leases</t>
  </si>
  <si>
    <t>Excel: Implementing Balanced Scorecards with KPIs</t>
  </si>
  <si>
    <t>Accounting Foundations: Internal Controls</t>
  </si>
  <si>
    <t>Evaluating Business Investment Decisions</t>
  </si>
  <si>
    <t>Accounting Foundations: Cost-Based Pricing Strategies</t>
  </si>
  <si>
    <t>Human Resources Knowledge and HR Management</t>
  </si>
  <si>
    <t>Employee Engagement</t>
  </si>
  <si>
    <t>Hiring and Developing Your Future Workforce</t>
  </si>
  <si>
    <t>Human Resources: Building a Performance Management System</t>
  </si>
  <si>
    <t>Human Resources: Leadership and Strategic Impact</t>
  </si>
  <si>
    <t>Human Resources: Selecting an HR System</t>
  </si>
  <si>
    <t>Develop Your HR Management and Leadership Skills</t>
  </si>
  <si>
    <t>Human Resources: Strategic Workforce Planning</t>
  </si>
  <si>
    <t>Diversity, Inclusion, and Belonging for HR Professionals and Leaders</t>
  </si>
  <si>
    <t>Human Resources: Understanding HR Systems Features and Benefits</t>
  </si>
  <si>
    <t>People Analytics</t>
  </si>
  <si>
    <t>Succession Planning</t>
  </si>
  <si>
    <t>Human Resources: Pay Strategy</t>
  </si>
  <si>
    <t>Redefining Workplace Learning Analytics</t>
  </si>
  <si>
    <t>Handling Workplace Bullying</t>
  </si>
  <si>
    <t>How to Design and Deliver Training Programs</t>
  </si>
  <si>
    <t>Human Resources Foundations</t>
  </si>
  <si>
    <t>Human Resources: Protecting Confidentiality</t>
  </si>
  <si>
    <t>Organizational Culture</t>
  </si>
  <si>
    <t>Teaching Civility in the Workplace</t>
  </si>
  <si>
    <t>Connecting with Your Millennial Manager</t>
  </si>
  <si>
    <t>Onboarding New Hires as a Manager</t>
  </si>
  <si>
    <t>Introduction to Employee Relations</t>
  </si>
  <si>
    <t>Learning Microsoft Dynamics Talent</t>
  </si>
  <si>
    <t>Empathy Tips for HR Professionals</t>
  </si>
  <si>
    <t>HR Guidelines Everyone Should Know</t>
  </si>
  <si>
    <t>Inclusion During Difficult Times</t>
  </si>
  <si>
    <t>Hiring and Managing UX Professionals</t>
  </si>
  <si>
    <t>Understanding Organisations and the Role of HR</t>
  </si>
  <si>
    <t>Human Resources: Creating an Employee Handbook</t>
  </si>
  <si>
    <t>Human Resources: Working with Vendors</t>
  </si>
  <si>
    <t>Managing Temporary and Contract Employees</t>
  </si>
  <si>
    <t>Recruiting Foundations</t>
  </si>
  <si>
    <t>Letting an Employee Go</t>
  </si>
  <si>
    <t>Establishing Work from Home Policies</t>
  </si>
  <si>
    <t>Bystander Training: From Bystander to Upstander</t>
  </si>
  <si>
    <t>Preventing Harassment in the Workplace</t>
  </si>
  <si>
    <t>Adding Value through Diversity</t>
  </si>
  <si>
    <t>Addiction: A Community Issue</t>
  </si>
  <si>
    <t>Introduction to the PHR Certification Exam</t>
  </si>
  <si>
    <t>Virtual Interviewing for HR</t>
  </si>
  <si>
    <t>Administrative Human Resources</t>
  </si>
  <si>
    <t>Building a Talent Pipeline from New Recruits to Leadership</t>
  </si>
  <si>
    <t>Communicating Employee Rewards</t>
  </si>
  <si>
    <t>Creating a Compelling Job Description</t>
  </si>
  <si>
    <t>Creating a Leadership Development Program</t>
  </si>
  <si>
    <t>Driving Workplace Happiness</t>
  </si>
  <si>
    <t>Finding and Retaining High Potentials</t>
  </si>
  <si>
    <t>Hire, Retain, and Grow Top Millennial Talent</t>
  </si>
  <si>
    <t>Hiring a Recruiting Firm</t>
  </si>
  <si>
    <t>Hiring Contract Employees</t>
  </si>
  <si>
    <t>Hiring, Managing, and Separating from Employees</t>
  </si>
  <si>
    <t>HR as a Business Partner</t>
  </si>
  <si>
    <t>Human Resources: Compensation and Benefits</t>
  </si>
  <si>
    <t>Human Resources: Job Structure and Design</t>
  </si>
  <si>
    <t>Human Resources: Payroll</t>
  </si>
  <si>
    <t>Human Resources: Running Company Onboarding</t>
  </si>
  <si>
    <t>Human Resources: Using Metrics to Drive HR Strategy</t>
  </si>
  <si>
    <t>Performance-Based Hiring</t>
  </si>
  <si>
    <t>Recruiting Veterans</t>
  </si>
  <si>
    <t>Strategic Human Resources</t>
  </si>
  <si>
    <t>Talent Sourcing</t>
  </si>
  <si>
    <t>Interviewing Techniques</t>
  </si>
  <si>
    <t>Diversity Recruiting</t>
  </si>
  <si>
    <t>Interviewing a Job Candidate for Recruiters</t>
  </si>
  <si>
    <t>Working with Prehire Assessments</t>
  </si>
  <si>
    <t>Setting and Managing Realistic Expectations for Your L&amp;D Program</t>
  </si>
  <si>
    <t>Rolling Out a Diversity and Inclusion Training Program in Your Company</t>
  </si>
  <si>
    <t>Leadership Mindsets</t>
  </si>
  <si>
    <t>IT, Machine Learning, &amp; Technology Foundational Knowledge</t>
  </si>
  <si>
    <t>Penetration Testing: Advanced Web Testing</t>
  </si>
  <si>
    <t>Advance Your Skills as an Azure IT Administrator</t>
  </si>
  <si>
    <t>CISSP Cert Prep: 5 Identity and Access Management</t>
  </si>
  <si>
    <t>Advance Your Skills in AI and Machine Learning</t>
  </si>
  <si>
    <t>Advanced NLP with Python for Machine Learning</t>
  </si>
  <si>
    <t>Advance Your Skills in Deep Learning and Neural Networks</t>
  </si>
  <si>
    <t>Microsoft Power Apps: AI Builder</t>
  </si>
  <si>
    <t>Become a C++ Developer</t>
  </si>
  <si>
    <t>Learning Java Applications</t>
  </si>
  <si>
    <t>Become a Cloud Administrator</t>
  </si>
  <si>
    <t>Test Automation Foundations</t>
  </si>
  <si>
    <t>Become a Python Developer</t>
  </si>
  <si>
    <t>Introducing Robotic Process Automation</t>
  </si>
  <si>
    <t>Learning Cloud Computing: Core Concepts</t>
  </si>
  <si>
    <t>Become an AWS Data and DevOps Specialist</t>
  </si>
  <si>
    <t>AWS Administration: Tips and Tricks</t>
  </si>
  <si>
    <t>Applied Machine Learning: Algorithms</t>
  </si>
  <si>
    <t>Artificial Intelligence Foundations: Neural Networks</t>
  </si>
  <si>
    <t>Get Ahead in iOS App Development</t>
  </si>
  <si>
    <t>Artificial Intelligence Foundations: Machine Learning</t>
  </si>
  <si>
    <t>Artificial Intelligence Foundations: Thinking Machines</t>
  </si>
  <si>
    <t>Master Cloud-Native Infrastructure with Kubernetes</t>
  </si>
  <si>
    <t>Machine Learning in Mobile Applications</t>
  </si>
  <si>
    <t>Machine Learning and AI Foundations: Predictive Modeling Strategy at Scale</t>
  </si>
  <si>
    <t>Learning Microsoft PowerApps</t>
  </si>
  <si>
    <t>Succeeding in Web Development: Full Stack and Front End</t>
  </si>
  <si>
    <t>Software Development Life Cycle (SDLC)</t>
  </si>
  <si>
    <t>Working and Collaborating Online</t>
  </si>
  <si>
    <t>Working with Computers and Devices</t>
  </si>
  <si>
    <t>Foundations of Enterprise Content Management</t>
  </si>
  <si>
    <t>Getting Started with Live Streaming</t>
  </si>
  <si>
    <t>CompTIA Security+ (SY0-601) Cert Prep: 8 Network Security Design and Implementation</t>
  </si>
  <si>
    <t>Agile Testing</t>
  </si>
  <si>
    <t>CompTIA Security+ (SY0-501) Cert Prep: 4 Identity and Access Management</t>
  </si>
  <si>
    <t>Applied Machine Learning: Foundations</t>
  </si>
  <si>
    <t>NumPy Data Science Essential Training</t>
  </si>
  <si>
    <t>Learning XAI: Explainable Artificial Intelligence</t>
  </si>
  <si>
    <t>Machine Learning and AI Foundations: Value Estimations</t>
  </si>
  <si>
    <t>Building Recommender Systems with Machine Learning and AI</t>
  </si>
  <si>
    <t>Introduction to Deep Learning with OpenCV</t>
  </si>
  <si>
    <t>First Look: Python 3.9</t>
  </si>
  <si>
    <t>Outlook: Automating Your Email with Mail Rules</t>
  </si>
  <si>
    <t>Learning SAP MM (Materials Management)</t>
  </si>
  <si>
    <t>Access 2019: Building Dashboards for Excel</t>
  </si>
  <si>
    <t>Learning SAP SD (Sales and Distribution)</t>
  </si>
  <si>
    <t>Scaling Applications with Microsoft Azure</t>
  </si>
  <si>
    <t>PowerPoint: Eight Easy Ways to Make Your Presentation Stand Out</t>
  </si>
  <si>
    <t>Applied AI for Human Resources</t>
  </si>
  <si>
    <t>Business Apps for SharePoint Monthly</t>
  </si>
  <si>
    <t>Applied AI for IT Operations</t>
  </si>
  <si>
    <t>Manage Apps with Configuration Manager</t>
  </si>
  <si>
    <t>DevOps Foundations: Infrastructure as Code</t>
  </si>
  <si>
    <t>Windows 10: Deploy and Manage Virtual Applications</t>
  </si>
  <si>
    <t>SSCP Cert Prep: 7 Systems and Application Security</t>
  </si>
  <si>
    <t>Windows Presentation Foundation: 1 Build Dramatic Desktop Applications</t>
  </si>
  <si>
    <t>API Testing Foundations</t>
  </si>
  <si>
    <t>DevOps Foundations: Continuous Delivery/Continuous Integration</t>
  </si>
  <si>
    <t>Software Testing: Exploratory Testing</t>
  </si>
  <si>
    <t>Python Automation and Testing</t>
  </si>
  <si>
    <t>Jenkins Essential Training</t>
  </si>
  <si>
    <t>API Test Automation with SoapUI</t>
  </si>
  <si>
    <t>Exchange 2016: Client Access Services</t>
  </si>
  <si>
    <t>Azure Administration: Configure and Manage Virtual Networks</t>
  </si>
  <si>
    <t>Configuration Manager: Configure and Maintain a Management Infrastructure</t>
  </si>
  <si>
    <t>Network Virtualization: SDN Overlay Solutions</t>
  </si>
  <si>
    <t>Azure Administration: Manage Subscriptions and Resources</t>
  </si>
  <si>
    <t>Machine Learning and AI Foundations: Recommendations</t>
  </si>
  <si>
    <t>Azure Administration: Deploy and Manage Virtual Machines</t>
  </si>
  <si>
    <t>Text Analytics and Predictions with Python Essential Training</t>
  </si>
  <si>
    <t>AI Accountability Essential Training</t>
  </si>
  <si>
    <t>Deep Learning: Image Recognition</t>
  </si>
  <si>
    <t>Deep Learning: Face Recognition</t>
  </si>
  <si>
    <t>Leading Change</t>
  </si>
  <si>
    <t>Leading During Times of Change</t>
  </si>
  <si>
    <t>Strategic Agility</t>
  </si>
  <si>
    <t>Digital Transformation for Leaders</t>
  </si>
  <si>
    <t>Digital Transformation for Tech Leaders</t>
  </si>
  <si>
    <t>Learning Design for Sustainability</t>
  </si>
  <si>
    <t>Learning Design Thinking: Lead Change in Your Organization</t>
  </si>
  <si>
    <t>Women Transforming Tech: Breaking Bias</t>
  </si>
  <si>
    <t>Becoming an AI-First Product Leader</t>
  </si>
  <si>
    <t>Leading with Fearless Mindfulness</t>
  </si>
  <si>
    <t>Guy Kawasaki on Turning Life Wisdom into Business Success</t>
  </si>
  <si>
    <t>Advocating for Change in Your Organization</t>
  </si>
  <si>
    <t>Being Your Own Fierce Self-Advocate</t>
  </si>
  <si>
    <t>Building Change Capability for Managers</t>
  </si>
  <si>
    <t>Leading Organizations: Ten Timeless Truths (getAbstract Summary)</t>
  </si>
  <si>
    <t>The Purpose Effect (getAbstract Summary)</t>
  </si>
  <si>
    <t>The Courage Habit (getAbstract Summary)</t>
  </si>
  <si>
    <t>The Employee's Guide to Sustainability</t>
  </si>
  <si>
    <t>Emily Cohen: Brutal Honesty as a Business Strategy</t>
  </si>
  <si>
    <t>Reframing Organizations (Blinkist Summary)</t>
  </si>
  <si>
    <t>Driving Change and Anti-Racism</t>
  </si>
  <si>
    <t>A Manager's Toolkit for Supporting Change</t>
  </si>
  <si>
    <t>Leading Change in Large, Distributed Organizations</t>
  </si>
  <si>
    <t>Leading and Managing the Whole Self</t>
  </si>
  <si>
    <t>Using Emotions to Leverage and Accelerate Change: A Guide for Leaders</t>
  </si>
  <si>
    <t>Risk-Taking for Leaders</t>
  </si>
  <si>
    <t>Sustainability Strategies</t>
  </si>
  <si>
    <t>Leading with Values</t>
  </si>
  <si>
    <t>Communicating Change in an Enterprise-Wide Transformation</t>
  </si>
  <si>
    <t>How to Innovate and Stay Relevant in Times of Change and Uncertainty</t>
  </si>
  <si>
    <t>Leading in Uncertain Times</t>
  </si>
  <si>
    <t>Leading Others Effectively and Transformational Leadership</t>
  </si>
  <si>
    <t>Leading Others Effectively</t>
  </si>
  <si>
    <t>Become a Leader</t>
  </si>
  <si>
    <t>Leading with Vision</t>
  </si>
  <si>
    <t>Sanyin Siang on Strategic Mentoring</t>
  </si>
  <si>
    <t>Vision in Action: Leaders Live Case Studies</t>
  </si>
  <si>
    <t>Manager to Leader</t>
  </si>
  <si>
    <t>Mastering Organizational Chaos</t>
  </si>
  <si>
    <t>Developing Credibility as a Leader</t>
  </si>
  <si>
    <t>Emerging Leader Foundations</t>
  </si>
  <si>
    <t>Ken Blanchard on Servant Leadership</t>
  </si>
  <si>
    <t>Leadership Foundations: Leadership Styles and Models</t>
  </si>
  <si>
    <t>Leadership: Practical Skills</t>
  </si>
  <si>
    <t>Leading with Stories</t>
  </si>
  <si>
    <t>Leading Yourself</t>
  </si>
  <si>
    <t>Ryan Holmes on Social Leadership</t>
  </si>
  <si>
    <t>Transitioning from Manager to Leader</t>
  </si>
  <si>
    <t>Leadership Foundations</t>
  </si>
  <si>
    <t>Management Foundations</t>
  </si>
  <si>
    <t>Implementing Continuous Improvement: A Case Study</t>
  </si>
  <si>
    <t>Developing Assertive Leadership</t>
  </si>
  <si>
    <t>Become a Courageous Female Leader</t>
  </si>
  <si>
    <t>Leadership Fundamentals</t>
  </si>
  <si>
    <t>Superhuman Innovation (Blinkist Summary)</t>
  </si>
  <si>
    <t>Inclusive Mindset</t>
  </si>
  <si>
    <t>Project Leadership</t>
  </si>
  <si>
    <t>Leading with Emotional Intelligence</t>
  </si>
  <si>
    <t>Transformational Leadership</t>
  </si>
  <si>
    <t>Humble Inquiry: The Gentle Art of Asking Instead of Telling (getAbstract Summary)</t>
  </si>
  <si>
    <t>The Leader’s Guide to Mindfulness (getAbstract Summary)</t>
  </si>
  <si>
    <t>The Secret: What Great Leaders Know and Do (getAbstract Summary)</t>
  </si>
  <si>
    <t>Bring Your Human to Work (getAbstract Summary)</t>
  </si>
  <si>
    <t>The Leader Habit (Blinkist Summary)</t>
  </si>
  <si>
    <t>The Fearless Organization (Blinkist Summary)</t>
  </si>
  <si>
    <t>Leading Virtually: Vulnerability and Presence when Working from Home</t>
  </si>
  <si>
    <t>What's Next: Reinventing Work in the New Normal</t>
  </si>
  <si>
    <t>Advice for Leaders During a Crisis</t>
  </si>
  <si>
    <t>Leadership in Tech</t>
  </si>
  <si>
    <t>Conducting Motivational 1-on-1 Reviews</t>
  </si>
  <si>
    <t>On Leadership by Jeff Weiner</t>
  </si>
  <si>
    <t>Fostering Belonging as a Leader</t>
  </si>
  <si>
    <t>Leadership Skills for The Future</t>
  </si>
  <si>
    <t>How to Successfully Lead a PMO</t>
  </si>
  <si>
    <t>Coaching Skills for Leaders and Managers</t>
  </si>
  <si>
    <t>Collaborative Leadership</t>
  </si>
  <si>
    <t>Developing Your Leadership Philosophy</t>
  </si>
  <si>
    <t>Executive Leadership</t>
  </si>
  <si>
    <t>Human-Centered Leadership</t>
  </si>
  <si>
    <t>Lead Like a Boss</t>
  </si>
  <si>
    <t>Leadership Blind Spots</t>
  </si>
  <si>
    <t>Leading Effectively</t>
  </si>
  <si>
    <t>Leading Projects</t>
  </si>
  <si>
    <t>Leading with Purpose</t>
  </si>
  <si>
    <t>Leading without Formal Authority</t>
  </si>
  <si>
    <t>Learn the Process of Effective Leadership</t>
  </si>
  <si>
    <t>Negotiating Your Leadership Success</t>
  </si>
  <si>
    <t>Business Ethics for Managers and Leaders</t>
  </si>
  <si>
    <t>Lessons in Enlightened Leadership</t>
  </si>
  <si>
    <t>Predictive Analytics Essential Training for Executives</t>
  </si>
  <si>
    <t>How Leaders Can Motivate Others by Creating Meaning</t>
  </si>
  <si>
    <t>Managing Others Effectively</t>
  </si>
  <si>
    <t xml:space="preserve">Managing Others Effectively </t>
  </si>
  <si>
    <t>Foundations of Performance Management</t>
  </si>
  <si>
    <t>Advance Your Skills as a Manager</t>
  </si>
  <si>
    <t>Become a Manager</t>
  </si>
  <si>
    <t>Delegating Tasks</t>
  </si>
  <si>
    <t>Managing High Performers</t>
  </si>
  <si>
    <t>Managing High Potentials</t>
  </si>
  <si>
    <t>New Manager Foundations</t>
  </si>
  <si>
    <t>Managing and Leading Developers</t>
  </si>
  <si>
    <t>Performance Management: Setting Goals and Managing Performance</t>
  </si>
  <si>
    <t>Talent Management</t>
  </si>
  <si>
    <t>Avoiding New Manager Mistakes</t>
  </si>
  <si>
    <t>Simple Manager Tools that Cure the Under-Management Epidemic</t>
  </si>
  <si>
    <t>The Benefits of Standardization and Standard Work</t>
  </si>
  <si>
    <t>Configure and Manage Office 365 Workload Integrations (Office 365/Microsoft 365)</t>
  </si>
  <si>
    <t>Just Ask: Todd Dewett on Management and Leadership</t>
  </si>
  <si>
    <t>Recognizing and Rewarding Your Workers</t>
  </si>
  <si>
    <t>Management: Top Tips</t>
  </si>
  <si>
    <t>Managing Generation Z</t>
  </si>
  <si>
    <t>The Eight Essential People Skills for Project Management (Blinkist Summary)</t>
  </si>
  <si>
    <t>Sales Management. Simplified. (Blinkist Summary)</t>
  </si>
  <si>
    <t>Decision-Making Strategies for Optimal Team Performance: A Primer for Team Leaders</t>
  </si>
  <si>
    <t>Building a Coaching Culture: Improving Performance Through Timely Feedback</t>
  </si>
  <si>
    <t>Coaching Employees through Difficult Situations</t>
  </si>
  <si>
    <t>Creating the Conditions for Others to Thrive</t>
  </si>
  <si>
    <t>Developing Executive Presence</t>
  </si>
  <si>
    <t>Managing for Results (2014)</t>
  </si>
  <si>
    <t>Managing Up, Down, and Across the Organization</t>
  </si>
  <si>
    <t>The Superbosses Playbook</t>
  </si>
  <si>
    <t>Operational Excellence and Process Improvement</t>
  </si>
  <si>
    <t>Creating a Product-Centric Organization</t>
  </si>
  <si>
    <t xml:space="preserve">Improve Processes and Deliver Operational Excellence </t>
  </si>
  <si>
    <t>DevOps Foundations: Accelerating Continuous Delivery in the Enterprise</t>
  </si>
  <si>
    <t>Becoming a Six Sigma Black Belt</t>
  </si>
  <si>
    <t>Microsoft Power Automate: Advanced Business Automation</t>
  </si>
  <si>
    <t>Becoming a Six Sigma Green Belt</t>
  </si>
  <si>
    <t>Build a Privacy Program</t>
  </si>
  <si>
    <t>Cost Reduction: Cut Costs and Maximize Profits</t>
  </si>
  <si>
    <t>DevOps Foundations</t>
  </si>
  <si>
    <t>Become a Six Sigma Yellow Belt</t>
  </si>
  <si>
    <t>Inventory Management Foundations</t>
  </si>
  <si>
    <t>Job Skills: Supply Chain and Operations</t>
  </si>
  <si>
    <t>Lean Foundations</t>
  </si>
  <si>
    <t>Lean Inventory Management</t>
  </si>
  <si>
    <t>Lean Six Sigma Foundations</t>
  </si>
  <si>
    <t>Operations Management Foundations</t>
  </si>
  <si>
    <t>Supply Chain Foundations</t>
  </si>
  <si>
    <t>Understanding Business</t>
  </si>
  <si>
    <t>Lean Deep Dive: Job Instruction</t>
  </si>
  <si>
    <t>Workplace Visualization</t>
  </si>
  <si>
    <t>Implementing Lean: A Case Study</t>
  </si>
  <si>
    <t>From Resisting to Embracing Lean: A Case Study</t>
  </si>
  <si>
    <t>5S Workplace Productivity</t>
  </si>
  <si>
    <t>Evaluating and Evolving Your Business Model</t>
  </si>
  <si>
    <t>Pricing Strategy Explained</t>
  </si>
  <si>
    <t>Quality Management Foundations</t>
  </si>
  <si>
    <t>Following the Digital Thread</t>
  </si>
  <si>
    <t>Supply Chain Basics For Everyone</t>
  </si>
  <si>
    <t>Operational Excellence Foundations</t>
  </si>
  <si>
    <t>How to Make Strategic Thinking a Habit</t>
  </si>
  <si>
    <t>Implementing a Vulnerability Management Program</t>
  </si>
  <si>
    <t>Business Process Improvement</t>
  </si>
  <si>
    <t>DevOps Foundations: Lean and Agile</t>
  </si>
  <si>
    <t>Leading with Next-Generation KPIs, with Michael Schrage</t>
  </si>
  <si>
    <t>Enterprise Agile: Changing Your Culture</t>
  </si>
  <si>
    <t>Implementing Supply Chain Management</t>
  </si>
  <si>
    <t>Lean Six Sigma: Analyze, Improve, and Control Tools</t>
  </si>
  <si>
    <t>Lean Six Sigma: Define and Measure Tools</t>
  </si>
  <si>
    <t>Lean Technology Strategy: Starting Your Business Transformation</t>
  </si>
  <si>
    <t>Operational Excellence Work-Out and Kaizen Facilitator</t>
  </si>
  <si>
    <t>Product Management: Building a Product Strategy</t>
  </si>
  <si>
    <t>Purchasing Foundations</t>
  </si>
  <si>
    <t>Six Sigma: Black Belt</t>
  </si>
  <si>
    <t>Six Sigma: Green Belt</t>
  </si>
  <si>
    <t>Managing Logistics</t>
  </si>
  <si>
    <t>Skip-Level Meetings</t>
  </si>
  <si>
    <t>Agile Software Development: Clean Coding Practices</t>
  </si>
  <si>
    <t>SAP Ariba Supply Chain Collaboration Overview</t>
  </si>
  <si>
    <t>Introduction to SAP BI/BW</t>
  </si>
  <si>
    <t>SAP BI/BW: Project Design and Implementation</t>
  </si>
  <si>
    <t>Presentation Skills</t>
  </si>
  <si>
    <t>Common Meeting Problems</t>
  </si>
  <si>
    <t>Improve Your Presentation Skills</t>
  </si>
  <si>
    <t>Creating a Meeting Agenda</t>
  </si>
  <si>
    <t>Master Microsoft PowerPoint</t>
  </si>
  <si>
    <t>Establishing Credibility as a Speaker</t>
  </si>
  <si>
    <t>Learning PowerPoint 2016</t>
  </si>
  <si>
    <t>Learning PowerPoint 2019</t>
  </si>
  <si>
    <t>Managing Meetings</t>
  </si>
  <si>
    <t>Overcoming Your Fear of Public Speaking</t>
  </si>
  <si>
    <t>Public Speaking Foundations</t>
  </si>
  <si>
    <t>Running a Design Business: Presentation Skills</t>
  </si>
  <si>
    <t>Public Speaking: Energize and Engage Your Audience</t>
  </si>
  <si>
    <t>Presentation Tips for Pitching to Investors</t>
  </si>
  <si>
    <t>How to Present and Stay on Point</t>
  </si>
  <si>
    <t>Using Video to Convey Your Passion and Personality</t>
  </si>
  <si>
    <t>How to Project Vocal Confidence</t>
  </si>
  <si>
    <t>Speaking Confidently and Effectively</t>
  </si>
  <si>
    <t>Boosting Your Confidence, Public Speaking and Performance</t>
  </si>
  <si>
    <t>Designing a Presentation</t>
  </si>
  <si>
    <t>Leading Productive Meetings</t>
  </si>
  <si>
    <t>PowerPoint 2016 Essential Training</t>
  </si>
  <si>
    <t>PowerPoint 2019 Essential Training</t>
  </si>
  <si>
    <t>PowerPoint Essential Training (Office 365/Microsoft 365) (2018)</t>
  </si>
  <si>
    <t>Managing Your Anxiety While Presenting</t>
  </si>
  <si>
    <t>Connecting with Your Audience Using Video</t>
  </si>
  <si>
    <t>Finding Your Idea Hook</t>
  </si>
  <si>
    <t>Presenting to Senior Executives</t>
  </si>
  <si>
    <t>Master Confident Presentations</t>
  </si>
  <si>
    <t>PowerPoint: Designing Better Slides</t>
  </si>
  <si>
    <t>Shane Snow on Storytelling</t>
  </si>
  <si>
    <t>Delivery Tips for Speaking in Public</t>
  </si>
  <si>
    <t>Presentation Tips Weekly</t>
  </si>
  <si>
    <t>Data-Driven Presentations with Excel and PowerPoint (365/2019)</t>
  </si>
  <si>
    <t>Creating and Giving Business Presentations</t>
  </si>
  <si>
    <t>Data Visualization: Storytelling (2016)</t>
  </si>
  <si>
    <t>Making Great Sales Presentations</t>
  </si>
  <si>
    <t>Meeting Facilitation</t>
  </si>
  <si>
    <t>PowerPoint 2016: Audio and Video In Depth</t>
  </si>
  <si>
    <t>PowerPoint 2016: Tips and Tricks</t>
  </si>
  <si>
    <t>Workshop Facilitation</t>
  </si>
  <si>
    <t>Project Management</t>
  </si>
  <si>
    <t>Complex Project Tips and Tricks</t>
  </si>
  <si>
    <t xml:space="preserve">Develop Your Project Management Skills </t>
  </si>
  <si>
    <t>Basecamp: Project Management Best Practices</t>
  </si>
  <si>
    <t>Become a Project Manager</t>
  </si>
  <si>
    <t>Project Management for Creative Projects</t>
  </si>
  <si>
    <t>Becoming an Agile Coach</t>
  </si>
  <si>
    <t>Project Management Foundations</t>
  </si>
  <si>
    <t>Project Management Foundations: Communication</t>
  </si>
  <si>
    <t>Project Management Foundations: Integration</t>
  </si>
  <si>
    <t>Project Management Foundations: Quality</t>
  </si>
  <si>
    <t>Project Management Foundations: Small Projects</t>
  </si>
  <si>
    <t>Project Management Starts with Laying Good Ground Rules</t>
  </si>
  <si>
    <t>Project Management: Preventing Scope Creep</t>
  </si>
  <si>
    <t>Project Management Foundations: Ethics</t>
  </si>
  <si>
    <t>Skilled Trades: Resumes and Portfolios</t>
  </si>
  <si>
    <t>Project Management Foundations: Requirements</t>
  </si>
  <si>
    <t>Project Management Foundations: Teams</t>
  </si>
  <si>
    <t>Software Project Management Foundations</t>
  </si>
  <si>
    <t>Project Management Simplified</t>
  </si>
  <si>
    <t>Hoshin Planning</t>
  </si>
  <si>
    <t>Project Management Tips</t>
  </si>
  <si>
    <t>Introducing the PMBOK® Guide—Seventh Edition</t>
  </si>
  <si>
    <t>Project Management: Choosing the Right Online Tool</t>
  </si>
  <si>
    <t>Product Management Tips</t>
  </si>
  <si>
    <t>Delivering Results with a Business-focused PMO</t>
  </si>
  <si>
    <t>Managing Project Stakeholders</t>
  </si>
  <si>
    <t>Transitioning from Waterfall to Agile Project Management</t>
  </si>
  <si>
    <t>Construction Industry: Safety</t>
  </si>
  <si>
    <t>What Is a PMO?</t>
  </si>
  <si>
    <t>Comparing Agile versus Waterfall Project Management</t>
  </si>
  <si>
    <t>LinkedIn Learning Highlights: Project Management</t>
  </si>
  <si>
    <t>Emotional Intelligence for Project Managers (Blinkist Summary)</t>
  </si>
  <si>
    <t>Gemba Kaizen: A Commonsense Approach to Continuous Improvement (Blinkist Summary)</t>
  </si>
  <si>
    <t>Lean Technology Strategy: Economic Frameworks for Portfolio and Product Management</t>
  </si>
  <si>
    <t>Creating a Program Strategy</t>
  </si>
  <si>
    <t>Blending Project Management Methods</t>
  </si>
  <si>
    <t>Exam Tips: Certified Associate in Project Management (CAPM)®</t>
  </si>
  <si>
    <t>Product Management: Building a Product Roadmap</t>
  </si>
  <si>
    <t>Project Management Foundations: Budgets</t>
  </si>
  <si>
    <t>Project Management Foundations: Procurement</t>
  </si>
  <si>
    <t>Project Management Foundations: Risk</t>
  </si>
  <si>
    <t>Project Management: Technical Projects</t>
  </si>
  <si>
    <t>The Top PMO Challenges</t>
  </si>
  <si>
    <t>Managing Projects with Microsoft Teams</t>
  </si>
  <si>
    <t>Trello for Agile Teams</t>
  </si>
  <si>
    <t>Jira: Basic Administration</t>
  </si>
  <si>
    <t>Sales Knowledge and Sales Skills</t>
  </si>
  <si>
    <t xml:space="preserve">Develop Your Sales Knowledge and Skills </t>
  </si>
  <si>
    <t>The Persuasion Code: The Neuroscience of Sales</t>
  </si>
  <si>
    <t>Advanced Persuasive Selling: Persuading Different Personality Types</t>
  </si>
  <si>
    <t>Selling to the C-Suite</t>
  </si>
  <si>
    <t>Sales Discovery</t>
  </si>
  <si>
    <t>Social Selling Foundations</t>
  </si>
  <si>
    <t>Building a Competitive Matrix</t>
  </si>
  <si>
    <t>Learn LinkedIn Sales Navigator</t>
  </si>
  <si>
    <t>Cold Calling Mastery</t>
  </si>
  <si>
    <t>Prepare Yourself for a Career in Sales</t>
  </si>
  <si>
    <t>Creating Your Sales Process</t>
  </si>
  <si>
    <t>Sales Fundamentals</t>
  </si>
  <si>
    <t>Cold Calling: Overcoming Sales Objections</t>
  </si>
  <si>
    <t>Cold Calling Business Leaders</t>
  </si>
  <si>
    <t>Creating Powerful Sales Proposals</t>
  </si>
  <si>
    <t>Flip the Script: A Toolkit for Sellers and Negotiators (Blinkist Summary)</t>
  </si>
  <si>
    <t>Social Selling Benchmarks and Scorecard</t>
  </si>
  <si>
    <t>Sales Enablement</t>
  </si>
  <si>
    <t>Empathy for Sales Professionals</t>
  </si>
  <si>
    <t>Selling with Empathy during Uncertain Times</t>
  </si>
  <si>
    <t>Strategic Planning and Strategic Thinking</t>
  </si>
  <si>
    <t>Business Development: Strategic Planning</t>
  </si>
  <si>
    <t xml:space="preserve">Develop Your Strategic Planning Skills </t>
  </si>
  <si>
    <t>Become a Business Unit Manager</t>
  </si>
  <si>
    <t>Creating a Culture of Strategy Execution</t>
  </si>
  <si>
    <t>Global Strategy</t>
  </si>
  <si>
    <t>Strategic Partnerships: Ecosystems and Platforms</t>
  </si>
  <si>
    <t>Strategies for Emerging Markets</t>
  </si>
  <si>
    <t>Digital Strategy</t>
  </si>
  <si>
    <t>Digital Technologies Case Studies: AI, IOT, Robotics, Blockchain</t>
  </si>
  <si>
    <t>Driving Measurable, Sustainable Change</t>
  </si>
  <si>
    <t>Developing a Competitive Strategy</t>
  </si>
  <si>
    <t>Strategic Thinking</t>
  </si>
  <si>
    <t>The New Age of Risk Management Strategy for Business</t>
  </si>
  <si>
    <t>Developing Your Execution Strategy</t>
  </si>
  <si>
    <t>Defining and Segmenting Competition</t>
  </si>
  <si>
    <t>Market Trends and How to Identify Them</t>
  </si>
  <si>
    <t>Creating a Unique Competitive Advantage</t>
  </si>
  <si>
    <t>Azure: Understanding the Big Picture</t>
  </si>
  <si>
    <t>Your Product or Service Strategy Explained</t>
  </si>
  <si>
    <t>Safeguarding AI</t>
  </si>
  <si>
    <t>The 45-Minute Business Plan</t>
  </si>
  <si>
    <t>Strategic Partnerships</t>
  </si>
  <si>
    <t>Strategy: A History (getAbstract Summary)</t>
  </si>
  <si>
    <t>Thinking In New Boxes: A New Paradigm for Business Creativity</t>
  </si>
  <si>
    <t>Assessing and Improving Strategic Plans</t>
  </si>
  <si>
    <t>Business Development Foundations</t>
  </si>
  <si>
    <t>Designing Growth Strategies</t>
  </si>
  <si>
    <t>Measuring Business Performance</t>
  </si>
  <si>
    <t>Setting Business Unit Goals</t>
  </si>
  <si>
    <t>Strategic Planning Foundations</t>
  </si>
  <si>
    <t>Strategic Planning: Case Studies</t>
  </si>
  <si>
    <t>Azure for Architects: Design a Migration Strategy</t>
  </si>
  <si>
    <t>Ethical Hacking: Cryptography</t>
  </si>
  <si>
    <t>Azure for Architects: Design a Business Continuity Strategy</t>
  </si>
  <si>
    <t>Cybersecurity Foundations</t>
  </si>
  <si>
    <t>Talent Development</t>
  </si>
  <si>
    <t xml:space="preserve">Develop, Motivate, and Retain Employees </t>
  </si>
  <si>
    <t>Become an L&amp;D Professional</t>
  </si>
  <si>
    <t>Creating a Positive and Healthy Work Environment</t>
  </si>
  <si>
    <t>Women Transforming Tech: Tips for Career Success</t>
  </si>
  <si>
    <t>A Beginner's Guide to Finding Your Calling</t>
  </si>
  <si>
    <t>Executive Coaching</t>
  </si>
  <si>
    <t>Ram Charan on Coaching High Potentials</t>
  </si>
  <si>
    <t>Foundations of Corporate Training</t>
  </si>
  <si>
    <t>Lean Technology Strategy: Building High-Performing Teams</t>
  </si>
  <si>
    <t>Rules for Rising Leaders</t>
  </si>
  <si>
    <t>Make the Move from Individual Contributor to Manager</t>
  </si>
  <si>
    <t>The Secrets to Success at Work</t>
  </si>
  <si>
    <t>Increase Visibility to Advance Your Career</t>
  </si>
  <si>
    <t>Delivering Employee Feedback</t>
  </si>
  <si>
    <t>How to Be a Good Mentee and Mentor</t>
  </si>
  <si>
    <t>All You Have to Do Is Ask: How to Ask for Help When You Need It</t>
  </si>
  <si>
    <t>How to Succeed in a Case Study Interview</t>
  </si>
  <si>
    <t>Coaching for Results</t>
  </si>
  <si>
    <t>Persuasive Coaching</t>
  </si>
  <si>
    <t>Managing Multiple Generations</t>
  </si>
  <si>
    <t>A Toolkit for Giving and Receiving Better Feedback</t>
  </si>
  <si>
    <t>The Coaching Habit (getAbstract Summary)</t>
  </si>
  <si>
    <t>Recruit and Maximize Talent</t>
  </si>
  <si>
    <t>Ideation for Leaders</t>
  </si>
  <si>
    <t>Managing Experts</t>
  </si>
  <si>
    <t>Performance Management: Conducting Performance Reviews</t>
  </si>
  <si>
    <t>Leading Professionals: Power, Politics, and Prima Donnas (getAbstract Summary)</t>
  </si>
  <si>
    <t>Using Feedback to Drive Performance</t>
  </si>
  <si>
    <t>Managing for Results</t>
  </si>
  <si>
    <t>Jeff Weiner on Establishing a Culture and a Plan for Scaling</t>
  </si>
  <si>
    <t>Values Diversity, Inclusion, and Belonging</t>
  </si>
  <si>
    <t>Leading Globally</t>
  </si>
  <si>
    <t>Leveraging Neuroscience in the Workplace</t>
  </si>
  <si>
    <t>Out and Proud: Approaching LGBT Issues in the Workplace</t>
  </si>
  <si>
    <t>Confronting Racism, with Robin DiAngelo</t>
  </si>
  <si>
    <t>Transition from Military to Civilian Employment</t>
  </si>
  <si>
    <t>Transition from Military to Student Life</t>
  </si>
  <si>
    <t>Communicating Across Cultures</t>
  </si>
  <si>
    <t>Confronting Bias: Thriving Across Our Differences</t>
  </si>
  <si>
    <t>Creating Change: Diversity and Inclusion in the Tech Industry</t>
  </si>
  <si>
    <t>Developing Cross-Cultural Intelligence</t>
  </si>
  <si>
    <t>Diversity and Inclusion in a Global Enterprise</t>
  </si>
  <si>
    <t>Diversity: The Best Resource for Achieving Business Goals</t>
  </si>
  <si>
    <t>Teaching with LinkedIn Learning</t>
  </si>
  <si>
    <t>Marketing to Diverse Audiences</t>
  </si>
  <si>
    <t>Overcoming Imposter Syndrome</t>
  </si>
  <si>
    <t>Proven Success Strategies for Women at Work</t>
  </si>
  <si>
    <t>Women Transforming Tech: Building Your Brand</t>
  </si>
  <si>
    <t>Finding and Doing the One Thing</t>
  </si>
  <si>
    <t>Own It: The Power of Women at Work</t>
  </si>
  <si>
    <t>Multinational Communication in the Workplace</t>
  </si>
  <si>
    <t>Becoming a Male Ally at Work</t>
  </si>
  <si>
    <t>Cultivating Cultural Competence and Inclusion</t>
  </si>
  <si>
    <t>Fighting Gender Bias at Work</t>
  </si>
  <si>
    <t>Awakening Compassion at Work (Blinkist Summary)</t>
  </si>
  <si>
    <t>Communicating about Culturally Sensitive Issues</t>
  </si>
  <si>
    <t>Managing a Multigenerational Workforce</t>
  </si>
  <si>
    <t>Unconscious Bias</t>
  </si>
  <si>
    <t>Leadership Strategies for Women</t>
  </si>
  <si>
    <t>Managing Someone Older Than You</t>
  </si>
  <si>
    <t>Social Interactions for Multinational Teams</t>
  </si>
  <si>
    <t>Women Helping Women Succeed in the Workplace</t>
  </si>
  <si>
    <t>Values and Ethics: Case Studies in Action</t>
  </si>
  <si>
    <t>Writing Skills and Writing Proficiency</t>
  </si>
  <si>
    <t>Advanced Grammar</t>
  </si>
  <si>
    <t xml:space="preserve">Develop Your Writing Skills </t>
  </si>
  <si>
    <t>Editing Mastery: How to Edit Writing to Perfection</t>
  </si>
  <si>
    <t>Grammar Foundations</t>
  </si>
  <si>
    <t>Learning to Write for the Web</t>
  </si>
  <si>
    <t>Note-Taking for Business Professionals</t>
  </si>
  <si>
    <t>Technical Writing: Reports</t>
  </si>
  <si>
    <t>Writing a Research Paper</t>
  </si>
  <si>
    <t>Writing Case Studies</t>
  </si>
  <si>
    <t>Writing White Papers</t>
  </si>
  <si>
    <t>Writing Your Company Overview</t>
  </si>
  <si>
    <t>Grammar Girl’s Quick and Dirty Tips for Better Writing</t>
  </si>
  <si>
    <t>Tips for Better Business Writing</t>
  </si>
  <si>
    <t>Writing a Marketing Plan</t>
  </si>
  <si>
    <t>How to Become a Purpose-Driven Journalist</t>
  </si>
  <si>
    <t>Technical Writing: Quick Start Guides</t>
  </si>
  <si>
    <t>Writing a Business Report</t>
  </si>
  <si>
    <t>Writing a Proposal</t>
  </si>
  <si>
    <t>Writing Articles</t>
  </si>
  <si>
    <t>Writing a Tech Resume</t>
  </si>
  <si>
    <t>Writing in Plain Language</t>
  </si>
  <si>
    <t>Business Writing Principles</t>
  </si>
  <si>
    <t>Business Writing Strategies</t>
  </si>
  <si>
    <t>Editing and Proofreading Made Simple</t>
  </si>
  <si>
    <t>Productivity Hacks for Writers</t>
  </si>
  <si>
    <t>Writing a Business Case</t>
  </si>
  <si>
    <t>Writing a Compelling Blog Post</t>
  </si>
  <si>
    <t>Writing Email</t>
  </si>
  <si>
    <t>Writing Formal Business Letters and Emails</t>
  </si>
  <si>
    <t>Writing in Plain English</t>
  </si>
  <si>
    <t>Writing Recommendations</t>
  </si>
  <si>
    <t>Writing Speeches</t>
  </si>
  <si>
    <t>Writing Under a Deadline</t>
  </si>
  <si>
    <t>Writing with Flair: How to Become an Exceptional Writer</t>
  </si>
  <si>
    <t>Writing with Impact</t>
  </si>
  <si>
    <t>Writing: The Craft of Story</t>
  </si>
  <si>
    <t>Conquering Writer's Block</t>
  </si>
  <si>
    <t>Tips for Writing Business Emails</t>
  </si>
  <si>
    <t>Ninja Writing: The Four Levels of Writing Mastery</t>
  </si>
  <si>
    <t>Writing Headlines</t>
  </si>
  <si>
    <t>Self-care, Wellbeing, Mindfulness</t>
  </si>
  <si>
    <t>Remote Working: Setting Yourself and Your Teams Up for Success</t>
  </si>
  <si>
    <t>Supporting Your Well-Being during Times of Change and Uncertainty</t>
  </si>
  <si>
    <t>Manage Change and Develop Your Adaptability Skills</t>
  </si>
  <si>
    <t>Overcoming Overwhelm</t>
  </si>
  <si>
    <t>Staying Positive and Productive during Uncertainty</t>
  </si>
  <si>
    <t>Support your Mental Health During Challenging Times</t>
  </si>
  <si>
    <t>Finding Your Introvert/Extrovert Balance in the Workplace</t>
  </si>
  <si>
    <t>Well-being in the Workplace</t>
  </si>
  <si>
    <t>Using Your Mind to Change Your Brain</t>
  </si>
  <si>
    <t>Chair Work: Yoga Fitness and Stretching at Your Desk</t>
  </si>
  <si>
    <t>Breathing Exercises for Mask Wearers</t>
  </si>
  <si>
    <t>De-stress: Meditation and Movement for Stress Management</t>
  </si>
  <si>
    <t>Stop Stressing and Keep Moving Forward</t>
  </si>
  <si>
    <t>Anger Management</t>
  </si>
  <si>
    <t>The Science of Compassion: Compassionate Presence</t>
  </si>
  <si>
    <t>Mindfulness for Beginners</t>
  </si>
  <si>
    <t>Computer and Text Neck Stretching Exercises</t>
  </si>
  <si>
    <t>The Mindful Workday</t>
  </si>
  <si>
    <t>Setting Limits with Your Smartphone</t>
  </si>
  <si>
    <t>Ergonomics 101</t>
  </si>
  <si>
    <t>Meditations to Change Your Brain</t>
  </si>
  <si>
    <t>Sky Yogi: Relax and Stretch for a Better Flight</t>
  </si>
  <si>
    <t>Boost Emotional Intelligence with Mindfulness</t>
  </si>
  <si>
    <t>Being Positive at Work</t>
  </si>
  <si>
    <t>Mindful Meditations for Work and Life</t>
  </si>
  <si>
    <t>Humor in the Workplace</t>
  </si>
  <si>
    <t>Gretchen Rubin on Creating Great Workplace Habits</t>
  </si>
  <si>
    <t>Arianna Huffington's Thrive 01: Discovering Meditation and Sleep</t>
  </si>
  <si>
    <t>Esther Dyson on Cultivating Health at Scale</t>
  </si>
  <si>
    <t>Arianna Huffington's Thrive 02: Learning How to Unplug and Recharge</t>
  </si>
  <si>
    <t>Arianna Huffington's Thrive 05: Igniting Joy through Presence and Wonder</t>
  </si>
  <si>
    <t>Being the Best You: Self-Improvement Modeling</t>
  </si>
  <si>
    <t>Supporting Your Mental Health While Working from Home</t>
  </si>
  <si>
    <t>Life Mastery: Achieving Happiness and Success</t>
  </si>
  <si>
    <t>Creating an Amazing Life</t>
  </si>
  <si>
    <t>Arianna Huffington's Thrive 06: Understanding the Link between Giving and Success</t>
  </si>
  <si>
    <t>Happiness Tips</t>
  </si>
  <si>
    <t>Learning to Say No</t>
  </si>
  <si>
    <t>Disrupting Yourself</t>
  </si>
  <si>
    <t>The Internet Trap: Five Costs of Living Online (getAbstract Summary)</t>
  </si>
  <si>
    <t>The Five Thieves of Happiness (getAbstract Summary)</t>
  </si>
  <si>
    <t>Essentials of Mindfulness and Compassion with Scott Shute</t>
  </si>
  <si>
    <t>How to Manage Feeling Overwhelmed</t>
  </si>
  <si>
    <t>Arianna Huffington's Thrive 03: Setting Priorities and Letting Go</t>
  </si>
  <si>
    <t>Managing Depression in the Workplace</t>
  </si>
  <si>
    <t>Balancing Work and Life</t>
  </si>
  <si>
    <t>Arianna Huffington's Thrive 04: Facing Challenges with Gratitude and Forgiveness</t>
  </si>
  <si>
    <t>Recharge Your Energy for Peak Performance</t>
  </si>
  <si>
    <t>Managing Anxiety in the Workplace</t>
  </si>
  <si>
    <t>Mindfulness Practices</t>
  </si>
  <si>
    <t>The Culture Code (Blinkist Summary)</t>
  </si>
  <si>
    <t>Thriving @ Work: Leveraging the Connection between Well-Being and Productivity</t>
  </si>
  <si>
    <t>When: The Scientific Secrets of Perfect Timing (Blinkist Summary)</t>
  </si>
  <si>
    <t>Unsubscribe: How to Kill Email Anxiety Avoid Distractions and Get Real Work Done (Blinkist Summary)</t>
  </si>
  <si>
    <t>Balancing Multiple Roles as a Leader</t>
  </si>
  <si>
    <t>How to Be a Positive Leader (Blinkist Summary)</t>
  </si>
  <si>
    <t>Ways to Build a Winning Team: Trust Freedom and Play</t>
  </si>
  <si>
    <t>Updated on: 12/18/2020</t>
  </si>
  <si>
    <t>Competencies</t>
  </si>
  <si>
    <t>#</t>
  </si>
  <si>
    <t>Click on a title below to go directly to the tab for full list of courses and learning paths mapped to that competency</t>
  </si>
  <si>
    <t>Alternative names for each competency</t>
  </si>
  <si>
    <t>Drive for Results, Action Oriented, Personal Accountability, Initiating Action, Initiative, Personal Initiative, Time Management, Perseverance, Drives Results, Being Resilient, Work Standards, Passion for Results</t>
  </si>
  <si>
    <t>Flexibility, Manages Ambiguity, Dealing With Paradox, Situational Adaptability, Dealing with Ambiguity, Active Learning, Learning Agility, Applied Learning, Nimble Learning, Learning on the Fly, Continuous Learning, Continuous Improvement</t>
  </si>
  <si>
    <t xml:space="preserve"> </t>
  </si>
  <si>
    <t>Effective Teams,Team Building, Building a Successful Team, Influence Teams, Inspiring Employees</t>
  </si>
  <si>
    <t>Building Trust, Peer Relationships, Collaboration, Approachability, Teamwork, Building Strategic Working Relationships, Gaining Commitment, Compassion, Building Positive Working Relationships, Integrity and Trust, Builds Networks, Instills Trust</t>
  </si>
  <si>
    <t>Communicates Effectively, Communication, Interpersonal Savvy, Influencing Others, Oral Communication, Interpersonal Communication, Organizational Communication, Listening</t>
  </si>
  <si>
    <t>Conflict Management, Conflict Resolution, Managing Conflict, Confronting Direct Reports</t>
  </si>
  <si>
    <t>Marketing, Market Research, Content Marketing, Digital Marketing, Market Analysis, SEO, Social Media Marketing, Marketing Strategies</t>
  </si>
  <si>
    <t>Innovation, Creativity, Ingenuity, Cultivates Innovation</t>
  </si>
  <si>
    <t>Decision Quality, Judgement, Timely Decision-Making, Decision-Making, Problem/Opportunity Analysis, Operational Decision Making, Problem Solving, Analytical Thinking, Logical Reasoning, Intellectual Horsepower</t>
  </si>
  <si>
    <t>Customer Service Orientation, Building Customer Loyalty, Customer Service</t>
  </si>
  <si>
    <t>Insights, analytics, inspecting, cleansing, transforming, and modeling data with the goal of discovering useful information. Informing conclusions and supporting decision-making</t>
  </si>
  <si>
    <t>Neuroscience of learning, flipped classroom, online learning, instructional design, digital teaching techniques, and strategies</t>
  </si>
  <si>
    <t>Financial Acumen, Financial Decision-Making, Financial Management</t>
  </si>
  <si>
    <t>Strategic Positioner, Credible Activist, Paradox Navigator, Culture and Change Champion, Total Reward Steward, Compliance Manager, Business Acumen, Human Resource Expertise, Relationship Management, Consultation, Leadership and Navigation, Global and Cultural Effectiveness, Ethical Practice, Critical Evaluation</t>
  </si>
  <si>
    <t>Artificial intelligence (AI), development of 'thinking' computer systems. expert system, systems can learn from data, foundational science and technologies</t>
  </si>
  <si>
    <t>Change Leadership, Innovation Management, Managing Change, Facilitating Change</t>
  </si>
  <si>
    <t>Leadership, Leading People, Inspiring Others, Leading Through Vision and Values</t>
  </si>
  <si>
    <t>Directing Others, Directs Work, Managing Others, Delegation, Delegating Responsibility, Managing Direct Reports, Managerial Courage, Managing and Measuring Work, Command Skills, Follow Up</t>
  </si>
  <si>
    <t>Operational Management, Continuous improvement, Process Excellence, Organisation Excellence</t>
  </si>
  <si>
    <t>Presenting, Presenting Information, Public Speaking, Oral Communication, Communicating Effectively, Training &amp; Presenting Information</t>
  </si>
  <si>
    <t>Time Management, Plan and Schedule Resources, Risk Management, Team Management, Communication and Leadership Skills, Quality Control</t>
  </si>
  <si>
    <t>Prospecting, Upselling, Time Management, Build Rapport, Lead Conversations, Drive Buying Decisions, Emotional Intelligence, Maintain Positivity, Build Solutions, Negotiating Prowess, Growth Opportunities, Networking, Influencing, Persuasive Selling</t>
  </si>
  <si>
    <t>Strategic Decision-Making, Establishing Strategic Direction, Strategic Decision Making, Planning, Perspective, Strategic Agility, Strategic Mindset</t>
  </si>
  <si>
    <t>Develops Talent, Developing Direct Reports, Coaching, Developing Direct Reports and Others, Developing Others</t>
  </si>
  <si>
    <t>Human Capital Management, Driving Engagement, Performance Management</t>
  </si>
  <si>
    <t>Managing Diversity, Leveraging Diversity, Values Differences, Equity, Empathy</t>
  </si>
  <si>
    <t>Writing, Written Communication, Written Expression, Writing Proficiency, Writing Skills, Technical Writing</t>
  </si>
  <si>
    <t xml:space="preserve">Emotional Intelligence, set &amp; keep boundaries, protect your energy, be aware of your stressors, develop mindfulness, stay focus and flexible, improve your work-life balance                                        </t>
  </si>
  <si>
    <t>Competency Learning Paths</t>
  </si>
  <si>
    <t>Navigate to the Learning Path by Clicking on title</t>
  </si>
  <si>
    <t>Descriptions</t>
  </si>
  <si>
    <t>Competency Synonyms</t>
  </si>
  <si>
    <t>Building Accountability and Becoming Results Oriented</t>
  </si>
  <si>
    <t>Learn how to accomplish objectives, exceed your goals, and be more proactive. Discover strategies for taking on greater responsibilities and fulfilling your obligations. Explore ways to establish challenging goals, remain persistent, act decisively, and effectively manage your time and resources.</t>
  </si>
  <si>
    <t>Discover how to maintain effectiveness when experiencing major changes in your work tasks or environment. Find out how to adjust quickly and effectively to learn and work within new work structures, processes, requirements, or cultures.</t>
  </si>
  <si>
    <t>Learn to create and manage teams that work well together—in person or at a distance—to meet short-term and strategic goals. Find out how to build  trust, respect, and cooperation; simplify systems for better coordination and communication; reduce conflict; and enhance innovation and accountability.</t>
  </si>
  <si>
    <t>Learn how to develop and maintain collaborative, constructive, and cooperative working relationships. Identify opportunities to connect teams, departments, units, and organizations. Discover how to interact with others and give them confidence in the intentions of you and your organization.</t>
  </si>
  <si>
    <t>Learn how to clearly convey information and ideas in an engaging manner. Explore how to build trust, communicate effectively, and be heard in all parts of your organization. Learn important interpersonal communication skills and strategies for igniting curiosity, attention, trust, and respect.</t>
  </si>
  <si>
    <t>Develop Conflict Management and Resolution Skills</t>
  </si>
  <si>
    <t>Learn how to deal effectively with others in antagonistic situations. Discover how to reduce tension or conflict. Review how to effectively settle disputes by focusing on solving the problems at hand—without offending egos. Evaluate the feasibility of alternative dispute resolution mechanisms.</t>
  </si>
  <si>
    <t>Learn how to use effective content and digital marketing techniques to support your objectives and maximize the return on your marketing dollars. Learn about principles and methods for showing, promoting, and selling products or services, including marketing strategies and tactics.</t>
  </si>
  <si>
    <t>Learn how to generate innovative solutions in work situations. Review how to develop, design, and create new applications, ideas, relationships, systems, and products. Discover how to use creative and alternative thinking to develop new ideas for and answers to work-related problems.</t>
  </si>
  <si>
    <t>Develop Critical-Thinking, Decision-Making, and Problem-Solving Skills</t>
  </si>
  <si>
    <t>Learn how to use logic and reasoning to identify the strengths and weaknesses of alternative solutions, conclusions, and approaches to problems. Discover how to question assumptions, apply sound reasoning, break down complex issues into manageable pieces, and grasp the implications of information.</t>
  </si>
  <si>
    <t>Develop Your Customer Service Skills</t>
  </si>
  <si>
    <t>Discover how to make your customers and their needs a primary focus, while at the same time developing and sustaining productive customer relationships. Develop skills for listening to customer needs, building rapport with those you're helping, and turning challenging customers into true allies.</t>
  </si>
  <si>
    <t>Develop Your Data Analysis Skills</t>
  </si>
  <si>
    <t>Explore the practice of data analysis. Learn about the process of applying statistical and graphical techniques to data in order to discover useful information. Identify underlying principles, reasons, or facts by breaking down information or data into separate parts.</t>
  </si>
  <si>
    <t>Shift your instructional strategy. Explore a type of blended learning that reverses the traditional learning environment by delivering instruction outside of the classroom. Discover design thinking and learn how to develop an instructional framework that helps learners visualize material.</t>
  </si>
  <si>
    <t>Develop Your Financial and Accounting Skills</t>
  </si>
  <si>
    <t>Review concepts such as financial analysis, accounting, and budgeting. Learn how to use financial data to diagnose business conditions, identify issues, and develop plans. Explore processes to determine how money will be spent to get work done and see how to establish and maintain realistic budgets.</t>
  </si>
  <si>
    <t>Learn the core concepts and knowledge areas necessary to make HR a strategic partner in your business. Develop opportunities and resources to support your company's employee development program. Discover how to empower your HR team to provide the most optimal employee experience.</t>
  </si>
  <si>
    <t>Master the Fundamentals of AI and Machine Learning</t>
  </si>
  <si>
    <t>Do you know the difference between AI and machine learning? Do you know how they affect you, your career path, and the world around us? After taking the courses in this learning path, you'll have a mastery of the concepts and future directions of technologies like artificial intelligence and machine learning. You'll be able to make more informed decisions and contributions in your work environment.</t>
  </si>
  <si>
    <t>Learn how to encourage others to seek opportunities for innovative approaches to addressing problems and opportunities. Discover how to facilitate the implementation and acceptance of change within the workplace.</t>
  </si>
  <si>
    <t>Learn how to influence and support others in the achievement of common goals. Examine how to lead a group and provide inspiration, clarity, and direction. Discover how to rally others and build morale. Learn how to gain commitment by influencing teams to set objectives and buy in on a process.</t>
  </si>
  <si>
    <t>Get the most out of your team while still honoring your company's values and earning your team's respect. Learn about strategic planning, leadership techniques, performance management, and methods used in successful organizations for motivating teams to reach their full potential.</t>
  </si>
  <si>
    <t xml:space="preserve">Directing Others, Directs Work, Managing Others, Delegation, Delegating Responsibility, Managing Direct Reports, Managerial Courage, Managing and Measuring Work, Command Skills, Follow Up </t>
  </si>
  <si>
    <t>Improve Processes and Deliver Operational Excellence</t>
  </si>
  <si>
    <t>Learn how to improve business processes and execute your business strategy more consistently and reliably over time. In this learning path, discover how to apply operational excellence techniques to improve your organization's processes, products, and services.</t>
  </si>
  <si>
    <t>Develop Your Presentation Skills</t>
  </si>
  <si>
    <t>Presentation skills are critical to success in nearly every occupation. Learn how to design presentations that will hold people's attention, present your ideas with confidence, and engage an audience by presenting well‐organized material in an understandable format.</t>
  </si>
  <si>
    <t>Develop Your Project Management Skills</t>
  </si>
  <si>
    <t>Develop your project management skills by learning how to create a quality project plan, execute on that plan, and monitor the results. Discover how to identify and react to outside forces that might influence project goals. Implement best practices to ensure you deliver value for your stakeholders.</t>
  </si>
  <si>
    <t>Develop Your Sales Knowledge and Skills</t>
  </si>
  <si>
    <t>Learn the key skills necessary in today's selling environment—from negotiation to telling great stories and selling with authenticity. Recognize that selling is a partnership. Develop your sales skills, people skills, and ability to create emotional engagement and earn the trust of others.</t>
  </si>
  <si>
    <t>Develop Your Strategic Planning Skills</t>
  </si>
  <si>
    <t>Learn how to plan for and anticipate consequences and trends for your business. Discover how to curate information, identify issues, and forge relationships. Learn how to commit to a course of action, develop alternatives, and use facts, resources, and organizational values to achieve your goals.</t>
  </si>
  <si>
    <t>Recruit and Maximize Talent 
(Talent Management)</t>
  </si>
  <si>
    <t>Learn how to effectively find and recruit talent in a sea of five generations of candidates. Explore the things that millennials and Gen Z workers are looking for. And gain a solid understanding of how to best manage your talent—from managing employee problems to boosting productivity.</t>
  </si>
  <si>
    <t>Develop, Motivate, and Retain Employees 
(Talent Development)</t>
  </si>
  <si>
    <t>Support the development of your employees' skills and abilities. Identify the developmental needs of others and help them thrive at work. Learn how to provide timely guidance and feedback. And learn how to motivate and direct people as they work—all while achieving your organization's objectives.</t>
  </si>
  <si>
    <t xml:space="preserve">Human Capital Management, Driving Engagement, Performance Management </t>
  </si>
  <si>
    <t>Diversity, Inclusion, and Belonging for All</t>
  </si>
  <si>
    <t>Learn about the challenges and opportunities inherent in working in diverse organizations. This transformative learning path reviews current thinking and best practices on essential topics such as bias in all of its forms, cultural competence, communication, allyship, and accountability.</t>
  </si>
  <si>
    <t>Develop Your Writing Skills</t>
  </si>
  <si>
    <t>Learn how to communicate information in a succinct, clear, convincing, and organized manner. Review the fundamentals of correct grammar, punctuation, and spelling. Discover how to produce written information that is appropriate for the intended audience.</t>
  </si>
  <si>
    <t>Learn science-based skills to support your mental health during challenging times. These courses cover topics such as building resilience, minding your mind while working from home, avoiding burnout, managing difficult feelings, and managing your emotions.</t>
  </si>
  <si>
    <t>Emotional Intelligence, set &amp; keep boundaries, protect your energy, be aware of your stressors, develop mindfulness, stay focus and flexible, improve your work-life balance</t>
  </si>
  <si>
    <r>
      <rPr>
        <b/>
        <sz val="20"/>
        <color rgb="FF434343"/>
        <rFont val="Arial"/>
        <family val="2"/>
      </rPr>
      <t>How to use this on-demand content mapping document</t>
    </r>
    <r>
      <rPr>
        <sz val="20"/>
        <color rgb="FF000000"/>
        <rFont val="Arial"/>
        <family val="2"/>
      </rPr>
      <t xml:space="preserve">
</t>
    </r>
    <r>
      <rPr>
        <sz val="16"/>
        <rFont val="Arial"/>
        <family val="2"/>
      </rPr>
      <t xml:space="preserve">Content is refreshed quarterly - </t>
    </r>
    <r>
      <rPr>
        <b/>
        <sz val="16"/>
        <color rgb="FF0563C1"/>
        <rFont val="Arial"/>
        <family val="2"/>
      </rPr>
      <t>last updated: December 18th, 2020</t>
    </r>
  </si>
  <si>
    <r>
      <t xml:space="preserve">We define a </t>
    </r>
    <r>
      <rPr>
        <b/>
        <sz val="13"/>
        <rFont val="Arial"/>
        <family val="2"/>
      </rPr>
      <t>competency</t>
    </r>
    <r>
      <rPr>
        <sz val="13"/>
        <color rgb="FF000000"/>
        <rFont val="Arial"/>
        <family val="2"/>
      </rPr>
      <t xml:space="preserve"> as the capability to apply a set of related knowledge, skills, and abilities to successfully perform critical tasks or functions in a specific setting.</t>
    </r>
  </si>
  <si>
    <r>
      <t xml:space="preserve">
Go to the</t>
    </r>
    <r>
      <rPr>
        <u/>
        <sz val="13"/>
        <color rgb="FF1155CC"/>
        <rFont val="Century Gothic"/>
        <family val="1"/>
      </rPr>
      <t xml:space="preserve"> </t>
    </r>
    <r>
      <rPr>
        <b/>
        <u/>
        <sz val="13"/>
        <color rgb="FF1155CC"/>
        <rFont val="Century Gothic"/>
        <family val="1"/>
      </rPr>
      <t xml:space="preserve">Table of Contents </t>
    </r>
    <r>
      <rPr>
        <sz val="13"/>
        <color rgb="FF000000"/>
        <rFont val="Century Gothic"/>
        <family val="1"/>
      </rPr>
      <t xml:space="preserve">tab for a list of the 27 competencies most frequently requested by LinkedIn Learning customers. 
In this tab you'll find the following:
•Each competency title contains a hyperlink that will navigate you to it's respecive tab
</t>
    </r>
  </si>
  <si>
    <r>
      <t xml:space="preserve">
Go to the </t>
    </r>
    <r>
      <rPr>
        <b/>
        <u/>
        <sz val="13"/>
        <color rgb="FF808000"/>
        <rFont val="Century Gothic"/>
        <family val="1"/>
      </rPr>
      <t>Competency Learning Paths</t>
    </r>
    <r>
      <rPr>
        <sz val="13"/>
        <color rgb="FF000000"/>
        <rFont val="Century Gothic"/>
        <family val="1"/>
      </rPr>
      <t xml:space="preserve"> tab for a list of custom created Learning Paths that align with our topmost requested competencies.
In this tab you'll find the following:
• Learning Path titles contain embeded links
• A description of the skills with which it will equip the learner
• Our Competency Learning Paths are tailored for the general audience</t>
    </r>
  </si>
  <si>
    <r>
      <rPr>
        <b/>
        <sz val="25"/>
        <color rgb="FF1C4587"/>
        <rFont val="Arial"/>
        <family val="2"/>
      </rPr>
      <t>English|</t>
    </r>
    <r>
      <rPr>
        <b/>
        <sz val="25"/>
        <color rgb="FF434343"/>
        <rFont val="Arial"/>
        <family val="2"/>
      </rPr>
      <t>Top 28 most requested competency repository</t>
    </r>
  </si>
  <si>
    <r>
      <rPr>
        <b/>
        <sz val="25"/>
        <color rgb="FF808000"/>
        <rFont val="Arial"/>
        <family val="2"/>
      </rPr>
      <t>English|</t>
    </r>
    <r>
      <rPr>
        <b/>
        <sz val="25"/>
        <color rgb="FF434343"/>
        <rFont val="Arial"/>
        <family val="2"/>
      </rPr>
      <t>Competency Learning Paths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</si>
</sst>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00"/>
  </numFmts>
  <fonts count="108" x14ac:knownFonts="1">
    <font>
      <sz val="10"/>
      <color rgb="FF000000"/>
      <name val="Arial"/>
    </font>
    <font>
      <sz val="10"/>
      <name val="Century Gothic"/>
      <family val="1"/>
    </font>
    <font>
      <sz val="10"/>
      <name val="Arial"/>
      <family val="2"/>
    </font>
    <font>
      <sz val="13"/>
      <name val="Century Gothic"/>
      <family val="1"/>
    </font>
    <font>
      <b/>
      <sz val="13"/>
      <name val="Arial"/>
      <family val="2"/>
    </font>
    <font>
      <u/>
      <sz val="13"/>
      <color rgb="FF0000FF"/>
      <name val="Century Gothic"/>
      <family val="1"/>
    </font>
    <font>
      <b/>
      <sz val="12"/>
      <color rgb="FFFFFFFF"/>
      <name val="Century Gothic"/>
      <family val="1"/>
    </font>
    <font>
      <sz val="12"/>
      <name val="Calibri"/>
      <family val="2"/>
    </font>
    <font>
      <b/>
      <sz val="12"/>
      <color rgb="FF38761D"/>
      <name val="Calibri"/>
      <family val="2"/>
    </font>
    <font>
      <b/>
      <u/>
      <sz val="12"/>
      <color rgb="FF38761D"/>
      <name val="Calibri"/>
      <family val="2"/>
    </font>
    <font>
      <b/>
      <u/>
      <sz val="12"/>
      <color rgb="FF38761D"/>
      <name val="Calibri"/>
      <family val="2"/>
    </font>
    <font>
      <sz val="12"/>
      <color rgb="FF999999"/>
      <name val="Calibri"/>
      <family val="2"/>
    </font>
    <font>
      <u/>
      <sz val="12"/>
      <color rgb="FF0563C1"/>
      <name val="Calibri"/>
      <family val="2"/>
    </font>
    <font>
      <u/>
      <sz val="12"/>
      <color rgb="FF0563C1"/>
      <name val="Calibri"/>
      <family val="2"/>
    </font>
    <font>
      <sz val="12"/>
      <color rgb="FF000000"/>
      <name val="Calibri"/>
      <family val="2"/>
    </font>
    <font>
      <sz val="12"/>
      <name val="Arial"/>
      <family val="2"/>
    </font>
    <font>
      <sz val="12"/>
      <color rgb="FF222222"/>
      <name val="Calibri"/>
      <family val="2"/>
    </font>
    <font>
      <u/>
      <sz val="12"/>
      <color rgb="FF0563C1"/>
      <name val="Calibri"/>
      <family val="2"/>
    </font>
    <font>
      <sz val="12"/>
      <color rgb="FF222222"/>
      <name val="Century Gothic"/>
      <family val="1"/>
    </font>
    <font>
      <b/>
      <sz val="12"/>
      <color rgb="FF38761D"/>
      <name val="Century Gothic"/>
      <family val="1"/>
    </font>
    <font>
      <b/>
      <u/>
      <sz val="12"/>
      <color rgb="FF38761D"/>
      <name val="Century Gothic"/>
      <family val="1"/>
    </font>
    <font>
      <sz val="12"/>
      <color rgb="FF999999"/>
      <name val="Century Gothic"/>
      <family val="1"/>
    </font>
    <font>
      <sz val="12"/>
      <name val="Century Gothic"/>
      <family val="1"/>
    </font>
    <font>
      <u/>
      <sz val="12"/>
      <color rgb="FF0563C1"/>
      <name val="Century Gothic"/>
      <family val="1"/>
    </font>
    <font>
      <sz val="12"/>
      <color rgb="FF000000"/>
      <name val="Century Gothic"/>
      <family val="1"/>
    </font>
    <font>
      <u/>
      <sz val="12"/>
      <color rgb="FF0563C1"/>
      <name val="Century Gothic"/>
      <family val="1"/>
    </font>
    <font>
      <u/>
      <sz val="12"/>
      <color rgb="FF1155CC"/>
      <name val="Calibri"/>
      <family val="2"/>
    </font>
    <font>
      <u/>
      <sz val="12"/>
      <color rgb="FF1155CC"/>
      <name val="Century Gothic"/>
      <family val="1"/>
    </font>
    <font>
      <u/>
      <sz val="12"/>
      <color rgb="FF0563C1"/>
      <name val="Calibri"/>
      <family val="2"/>
    </font>
    <font>
      <sz val="12"/>
      <color rgb="FF201F1E"/>
      <name val="Calibri"/>
      <family val="2"/>
    </font>
    <font>
      <u/>
      <sz val="12"/>
      <color rgb="FF1155CC"/>
      <name val="Calibri"/>
      <family val="2"/>
    </font>
    <font>
      <u/>
      <sz val="12"/>
      <color rgb="FF0563C1"/>
      <name val="Calibri"/>
      <family val="2"/>
    </font>
    <font>
      <u/>
      <sz val="12"/>
      <color rgb="FF0563C1"/>
      <name val="Calibri"/>
      <family val="2"/>
    </font>
    <font>
      <u/>
      <sz val="12"/>
      <color rgb="FF0000FF"/>
      <name val="Calibri"/>
      <family val="2"/>
    </font>
    <font>
      <u/>
      <sz val="12"/>
      <color rgb="FF0000FF"/>
      <name val="Calibri"/>
      <family val="2"/>
    </font>
    <font>
      <u/>
      <sz val="12"/>
      <color rgb="FF0000FF"/>
      <name val="Calibri"/>
      <family val="2"/>
    </font>
    <font>
      <u/>
      <sz val="12"/>
      <color rgb="FF1155CC"/>
      <name val="Calibri"/>
      <family val="2"/>
    </font>
    <font>
      <u/>
      <sz val="12"/>
      <color rgb="FF1155CC"/>
      <name val="Calibri"/>
      <family val="2"/>
    </font>
    <font>
      <u/>
      <sz val="12"/>
      <color rgb="FF0563C1"/>
      <name val="Calibri"/>
      <family val="2"/>
    </font>
    <font>
      <u/>
      <sz val="12"/>
      <color rgb="FF1155CC"/>
      <name val="Calibri"/>
      <family val="2"/>
    </font>
    <font>
      <u/>
      <sz val="12"/>
      <color rgb="FF0563C1"/>
      <name val="Calibri"/>
      <family val="2"/>
    </font>
    <font>
      <u/>
      <sz val="12"/>
      <color rgb="FF0563C1"/>
      <name val="Calibri"/>
      <family val="2"/>
    </font>
    <font>
      <u/>
      <sz val="12"/>
      <color rgb="FF0563C1"/>
      <name val="Calibri"/>
      <family val="2"/>
    </font>
    <font>
      <u/>
      <sz val="12"/>
      <color rgb="FF000000"/>
      <name val="Calibri"/>
      <family val="2"/>
    </font>
    <font>
      <u/>
      <sz val="12"/>
      <color rgb="FF0563C1"/>
      <name val="Calibri"/>
      <family val="2"/>
    </font>
    <font>
      <u/>
      <sz val="12"/>
      <color rgb="FF0563C1"/>
      <name val="Calibri"/>
      <family val="2"/>
    </font>
    <font>
      <sz val="11"/>
      <color rgb="FF000000"/>
      <name val="Arial"/>
      <family val="2"/>
    </font>
    <font>
      <sz val="11"/>
      <name val="Calibri"/>
      <family val="2"/>
    </font>
    <font>
      <sz val="10"/>
      <name val="Arial"/>
      <family val="2"/>
    </font>
    <font>
      <u/>
      <sz val="12"/>
      <color rgb="FF0000FF"/>
      <name val="Arial"/>
      <family val="2"/>
    </font>
    <font>
      <b/>
      <sz val="25"/>
      <color rgb="FF000000"/>
      <name val="Century Gothic"/>
      <family val="1"/>
    </font>
    <font>
      <b/>
      <sz val="14"/>
      <color rgb="FF434343"/>
      <name val="Century Gothic"/>
      <family val="1"/>
    </font>
    <font>
      <b/>
      <sz val="14"/>
      <color rgb="FF000000"/>
      <name val="Century Gothic"/>
      <family val="1"/>
    </font>
    <font>
      <sz val="10"/>
      <color rgb="FF666666"/>
      <name val="Century Gothic"/>
      <family val="1"/>
    </font>
    <font>
      <b/>
      <sz val="12"/>
      <name val="Century Gothic"/>
      <family val="1"/>
    </font>
    <font>
      <b/>
      <sz val="10"/>
      <color rgb="FF434343"/>
      <name val="Century Gothic"/>
      <family val="1"/>
    </font>
    <font>
      <b/>
      <sz val="12"/>
      <color rgb="FF000000"/>
      <name val="Century Gothic"/>
      <family val="1"/>
    </font>
    <font>
      <b/>
      <sz val="12"/>
      <color rgb="FF0B5394"/>
      <name val="Century Gothic"/>
      <family val="1"/>
    </font>
    <font>
      <b/>
      <u/>
      <sz val="12"/>
      <color rgb="FF0000FF"/>
      <name val="Century Gothic"/>
      <family val="1"/>
    </font>
    <font>
      <sz val="12"/>
      <color rgb="FF434343"/>
      <name val="Century Gothic"/>
      <family val="1"/>
    </font>
    <font>
      <b/>
      <u/>
      <sz val="12"/>
      <color rgb="FF1155CC"/>
      <name val="Century Gothic"/>
      <family val="1"/>
    </font>
    <font>
      <b/>
      <sz val="15"/>
      <color rgb="FFFFFFFF"/>
      <name val="Century Gothic"/>
      <family val="1"/>
    </font>
    <font>
      <b/>
      <sz val="20"/>
      <color rgb="FF000000"/>
      <name val="Century Gothic"/>
      <family val="1"/>
    </font>
    <font>
      <b/>
      <sz val="33"/>
      <color rgb="FF000000"/>
      <name val="Century Gothic"/>
      <family val="1"/>
    </font>
    <font>
      <b/>
      <sz val="16"/>
      <color rgb="FF666666"/>
      <name val="Century Gothic"/>
      <family val="1"/>
    </font>
    <font>
      <b/>
      <sz val="14"/>
      <color rgb="FF666666"/>
      <name val="Century Gothic"/>
      <family val="1"/>
    </font>
    <font>
      <b/>
      <sz val="16"/>
      <color rgb="FF000000"/>
      <name val="Century Gothic"/>
      <family val="1"/>
    </font>
    <font>
      <b/>
      <sz val="11"/>
      <color rgb="FFFFFFFF"/>
      <name val="Century Gothic"/>
      <family val="1"/>
    </font>
    <font>
      <b/>
      <sz val="11"/>
      <color rgb="FF434343"/>
      <name val="Century Gothic"/>
      <family val="1"/>
    </font>
    <font>
      <sz val="10"/>
      <color rgb="FFFFFFFF"/>
      <name val="Century Gothic"/>
      <family val="1"/>
    </font>
    <font>
      <sz val="11"/>
      <color rgb="FF434343"/>
      <name val="Century Gothic"/>
      <family val="1"/>
    </font>
    <font>
      <b/>
      <sz val="15"/>
      <color rgb="FF434343"/>
      <name val="Century Gothic"/>
      <family val="1"/>
    </font>
    <font>
      <b/>
      <sz val="13"/>
      <color rgb="FF0563C1"/>
      <name val="Century Gothic"/>
      <family val="1"/>
    </font>
    <font>
      <b/>
      <sz val="13"/>
      <color rgb="FFFFFFFF"/>
      <name val="Century Gothic"/>
      <family val="1"/>
    </font>
    <font>
      <b/>
      <sz val="12"/>
      <color rgb="FF666666"/>
      <name val="Century Gothic"/>
      <family val="1"/>
    </font>
    <font>
      <sz val="12"/>
      <color rgb="FF666666"/>
      <name val="Century Gothic"/>
      <family val="1"/>
    </font>
    <font>
      <b/>
      <sz val="11"/>
      <color rgb="FF0563C1"/>
      <name val="Century Gothic"/>
      <family val="1"/>
    </font>
    <font>
      <b/>
      <sz val="12"/>
      <color rgb="FF434343"/>
      <name val="Century Gothic"/>
      <family val="1"/>
    </font>
    <font>
      <u/>
      <sz val="11"/>
      <color rgb="FF1155CC"/>
      <name val="Century Gothic"/>
      <family val="1"/>
    </font>
    <font>
      <u/>
      <sz val="11"/>
      <color rgb="FF1155CC"/>
      <name val="Century Gothic"/>
      <family val="1"/>
    </font>
    <font>
      <u/>
      <sz val="11"/>
      <color rgb="FF1155CC"/>
      <name val="Century Gothic"/>
      <family val="1"/>
    </font>
    <font>
      <u/>
      <sz val="11"/>
      <color rgb="FF1155CC"/>
      <name val="Century Gothic"/>
      <family val="1"/>
    </font>
    <font>
      <sz val="11"/>
      <color rgb="FF1155CC"/>
      <name val="Century Gothic"/>
      <family val="1"/>
    </font>
    <font>
      <u/>
      <sz val="11"/>
      <color rgb="FF1155CC"/>
      <name val="Century Gothic"/>
      <family val="1"/>
    </font>
    <font>
      <u/>
      <sz val="11"/>
      <color rgb="FF1155CC"/>
      <name val="Century Gothic"/>
      <family val="1"/>
    </font>
    <font>
      <u/>
      <sz val="11"/>
      <color rgb="FF434343"/>
      <name val="Century Gothic"/>
      <family val="1"/>
    </font>
    <font>
      <u/>
      <sz val="11"/>
      <color rgb="FF434343"/>
      <name val="Century Gothic"/>
      <family val="1"/>
    </font>
    <font>
      <u/>
      <sz val="11"/>
      <color rgb="FF1155CC"/>
      <name val="Century Gothic"/>
      <family val="1"/>
    </font>
    <font>
      <u/>
      <sz val="11"/>
      <color rgb="FF434343"/>
      <name val="Century Gothic"/>
      <family val="1"/>
    </font>
    <font>
      <sz val="14"/>
      <name val="Arial"/>
      <family val="2"/>
    </font>
    <font>
      <b/>
      <sz val="20"/>
      <color rgb="FF434343"/>
      <name val="Arial"/>
      <family val="2"/>
    </font>
    <font>
      <sz val="20"/>
      <color rgb="FF000000"/>
      <name val="Arial"/>
      <family val="2"/>
    </font>
    <font>
      <sz val="20"/>
      <name val="Arial"/>
      <family val="2"/>
    </font>
    <font>
      <sz val="16"/>
      <name val="Arial"/>
      <family val="2"/>
    </font>
    <font>
      <b/>
      <sz val="16"/>
      <color rgb="FF0563C1"/>
      <name val="Arial"/>
      <family val="2"/>
    </font>
    <font>
      <sz val="13"/>
      <color rgb="FF000000"/>
      <name val="Arial"/>
      <family val="2"/>
    </font>
    <font>
      <b/>
      <sz val="13"/>
      <name val="Century Gothic"/>
      <family val="1"/>
    </font>
    <font>
      <sz val="13"/>
      <color rgb="FF000000"/>
      <name val="Century Gothic"/>
      <family val="1"/>
    </font>
    <font>
      <u/>
      <sz val="13"/>
      <color rgb="FF1155CC"/>
      <name val="Century Gothic"/>
      <family val="1"/>
    </font>
    <font>
      <b/>
      <u/>
      <sz val="13"/>
      <color rgb="FF1155CC"/>
      <name val="Century Gothic"/>
      <family val="1"/>
    </font>
    <font>
      <b/>
      <u/>
      <sz val="13"/>
      <color rgb="FF808000"/>
      <name val="Century Gothic"/>
      <family val="1"/>
    </font>
    <font>
      <b/>
      <sz val="25"/>
      <color rgb="FF1C4587"/>
      <name val="Arial"/>
      <family val="2"/>
    </font>
    <font>
      <b/>
      <sz val="25"/>
      <color rgb="FF434343"/>
      <name val="Arial"/>
      <family val="2"/>
    </font>
    <font>
      <b/>
      <sz val="25"/>
      <name val="Arial"/>
      <family val="2"/>
    </font>
    <font>
      <sz val="12"/>
      <color rgb="FF000000"/>
      <name val="Arial"/>
      <family val="2"/>
    </font>
    <font>
      <b/>
      <sz val="25"/>
      <color rgb="FF808000"/>
      <name val="Arial"/>
      <family val="2"/>
    </font>
    <font>
      <b/>
      <sz val="25"/>
      <color rgb="FF000000"/>
      <name val="Arial"/>
      <family val="2"/>
    </font>
    <font>
      <sz val="14"/>
      <color rgb="FF000000"/>
      <name val="Arial"/>
      <family val="2"/>
    </font>
  </fonts>
  <fills count="7">
    <fill>
      <patternFill patternType="none"/>
    </fill>
    <fill>
      <patternFill patternType="gray125"/>
    </fill>
    <fill>
      <patternFill patternType="solid">
        <fgColor rgb="FFB7B7B7"/>
        <bgColor rgb="FFB7B7B7"/>
      </patternFill>
    </fill>
    <fill>
      <patternFill patternType="solid">
        <fgColor rgb="FFFFFFFF"/>
        <bgColor rgb="FFFFFFFF"/>
      </patternFill>
    </fill>
    <fill>
      <patternFill patternType="solid">
        <fgColor rgb="FF0B5394"/>
        <bgColor rgb="FF0B5394"/>
      </patternFill>
    </fill>
    <fill>
      <patternFill patternType="solid">
        <fgColor rgb="FF808000"/>
        <bgColor rgb="FF808000"/>
      </patternFill>
    </fill>
    <fill>
      <patternFill patternType="solid">
        <fgColor rgb="FFD9D9D9"/>
        <bgColor rgb="FFD9D9D9"/>
      </patternFill>
    </fill>
  </fills>
  <borders count="32">
    <border>
      <left/>
      <right/>
      <top/>
      <bottom/>
      <diagonal/>
    </border>
    <border>
      <left style="hair">
        <color rgb="FF0563C1"/>
      </left>
      <right/>
      <top style="hair">
        <color rgb="FF0563C1"/>
      </top>
      <bottom/>
      <diagonal/>
    </border>
    <border>
      <left/>
      <right/>
      <top style="hair">
        <color rgb="FF0563C1"/>
      </top>
      <bottom/>
      <diagonal/>
    </border>
    <border>
      <left/>
      <right style="hair">
        <color rgb="FF0563C1"/>
      </right>
      <top style="hair">
        <color rgb="FF0563C1"/>
      </top>
      <bottom/>
      <diagonal/>
    </border>
    <border>
      <left style="hair">
        <color rgb="FF0563C1"/>
      </left>
      <right/>
      <top/>
      <bottom/>
      <diagonal/>
    </border>
    <border>
      <left/>
      <right style="hair">
        <color rgb="FF0563C1"/>
      </right>
      <top/>
      <bottom/>
      <diagonal/>
    </border>
    <border>
      <left style="hair">
        <color rgb="FF0563C1"/>
      </left>
      <right/>
      <top/>
      <bottom style="hair">
        <color rgb="FF0563C1"/>
      </bottom>
      <diagonal/>
    </border>
    <border>
      <left/>
      <right style="hair">
        <color rgb="FF0563C1"/>
      </right>
      <top/>
      <bottom style="hair">
        <color rgb="FF0563C1"/>
      </bottom>
      <diagonal/>
    </border>
    <border>
      <left/>
      <right/>
      <top/>
      <bottom style="hair">
        <color rgb="FF0563C1"/>
      </bottom>
      <diagonal/>
    </border>
    <border>
      <left style="thin">
        <color rgb="FFD9D9D9"/>
      </left>
      <right style="thin">
        <color rgb="FFD9D9D9"/>
      </right>
      <top style="thin">
        <color rgb="FFD9D9D9"/>
      </top>
      <bottom style="thin">
        <color rgb="FFD9D9D9"/>
      </bottom>
      <diagonal/>
    </border>
    <border>
      <left/>
      <right style="thin">
        <color rgb="FFD9D9D9"/>
      </right>
      <top style="thin">
        <color rgb="FFD9D9D9"/>
      </top>
      <bottom style="thin">
        <color rgb="FFD9D9D9"/>
      </bottom>
      <diagonal/>
    </border>
    <border>
      <left style="thin">
        <color rgb="FFD9D9D9"/>
      </left>
      <right style="thin">
        <color rgb="FFD9D9D9"/>
      </right>
      <top/>
      <bottom style="thin">
        <color rgb="FFD9D9D9"/>
      </bottom>
      <diagonal/>
    </border>
    <border>
      <left/>
      <right style="thin">
        <color rgb="FFD9D9D9"/>
      </right>
      <top/>
      <bottom style="thin">
        <color rgb="FFD9D9D9"/>
      </bottom>
      <diagonal/>
    </border>
    <border>
      <left/>
      <right/>
      <top/>
      <bottom style="thin">
        <color rgb="FFFFFFFF"/>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
      <left/>
      <right/>
      <top style="thin">
        <color rgb="FFFFFFFF"/>
      </top>
      <bottom style="thin">
        <color rgb="FFFFFFFF"/>
      </bottom>
      <diagonal/>
    </border>
    <border>
      <left/>
      <right style="thin">
        <color rgb="FFFFFFFF"/>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bottom/>
      <diagonal/>
    </border>
    <border>
      <left style="thin">
        <color rgb="FFFFFFFF"/>
      </left>
      <right style="thin">
        <color rgb="FFFFFFFF"/>
      </right>
      <top/>
      <bottom style="hair">
        <color rgb="FF0563C1"/>
      </bottom>
      <diagonal/>
    </border>
    <border>
      <left/>
      <right style="thin">
        <color rgb="FFFFFFFF"/>
      </right>
      <top/>
      <bottom style="hair">
        <color rgb="FF0563C1"/>
      </bottom>
      <diagonal/>
    </border>
    <border>
      <left style="thin">
        <color rgb="FF808000"/>
      </left>
      <right style="thin">
        <color rgb="FF808000"/>
      </right>
      <top style="thin">
        <color rgb="FF808000"/>
      </top>
      <bottom style="thin">
        <color rgb="FF808000"/>
      </bottom>
      <diagonal/>
    </border>
    <border>
      <left style="thin">
        <color rgb="FF808000"/>
      </left>
      <right/>
      <top style="thin">
        <color rgb="FF808000"/>
      </top>
      <bottom style="thin">
        <color rgb="FF808000"/>
      </bottom>
      <diagonal/>
    </border>
    <border>
      <left/>
      <right style="thin">
        <color rgb="FF808000"/>
      </right>
      <top style="thin">
        <color rgb="FF808000"/>
      </top>
      <bottom style="thin">
        <color rgb="FF808000"/>
      </bottom>
      <diagonal/>
    </border>
    <border>
      <left/>
      <right/>
      <top style="thin">
        <color rgb="FF808000"/>
      </top>
      <bottom style="thin">
        <color rgb="FF808000"/>
      </bottom>
      <diagonal/>
    </border>
    <border>
      <left/>
      <right/>
      <top/>
      <bottom style="hair">
        <color rgb="FF86967E"/>
      </bottom>
      <diagonal/>
    </border>
    <border>
      <left/>
      <right style="thin">
        <color rgb="FFFFFFFF"/>
      </right>
      <top/>
      <bottom style="hair">
        <color rgb="FF86967E"/>
      </bottom>
      <diagonal/>
    </border>
    <border>
      <left/>
      <right/>
      <top/>
      <bottom style="thin">
        <color rgb="FFD9D9D9"/>
      </bottom>
      <diagonal/>
    </border>
    <border>
      <left/>
      <right/>
      <top style="thin">
        <color rgb="FFD9D9D9"/>
      </top>
      <bottom style="thin">
        <color rgb="FFD9D9D9"/>
      </bottom>
      <diagonal/>
    </border>
    <border>
      <left style="thin">
        <color rgb="FFD9D9D9"/>
      </left>
      <right/>
      <top style="thin">
        <color rgb="FFD9D9D9"/>
      </top>
      <bottom style="thin">
        <color rgb="FFD9D9D9"/>
      </bottom>
      <diagonal/>
    </border>
    <border>
      <left style="thick">
        <color rgb="FFEFEFEF"/>
      </left>
      <right style="thick">
        <color rgb="FFEFEFEF"/>
      </right>
      <top style="thick">
        <color rgb="FFEFEFEF"/>
      </top>
      <bottom style="thick">
        <color rgb="FFEFEFEF"/>
      </bottom>
      <diagonal/>
    </border>
  </borders>
  <cellStyleXfs count="1">
    <xf numFmtId="0" fontId="0" fillId="0" borderId="0"/>
  </cellStyleXfs>
  <cellXfs count="218">
    <xf numFmtId="0" fontId="0" fillId="0" borderId="0" xfId="0" applyFont="1" applyAlignment="1"/>
    <xf numFmtId="0" fontId="1" fillId="0" borderId="0" xfId="0" applyFont="1"/>
    <xf numFmtId="0" fontId="3" fillId="0" borderId="4" xfId="0" applyFont="1" applyBorder="1" applyAlignment="1">
      <alignment vertical="top" wrapText="1"/>
    </xf>
    <xf numFmtId="0" fontId="4" fillId="0" borderId="0" xfId="0" applyFont="1" applyAlignment="1">
      <alignment vertical="top"/>
    </xf>
    <xf numFmtId="0" fontId="3" fillId="0" borderId="0" xfId="0" applyFont="1" applyAlignment="1">
      <alignment vertical="top" wrapText="1"/>
    </xf>
    <xf numFmtId="0" fontId="1" fillId="0" borderId="5" xfId="0" applyFont="1" applyBorder="1"/>
    <xf numFmtId="0" fontId="3" fillId="0" borderId="1" xfId="0" applyFont="1" applyBorder="1" applyAlignment="1">
      <alignment vertical="top" wrapText="1"/>
    </xf>
    <xf numFmtId="0" fontId="5" fillId="0" borderId="3" xfId="0" applyFont="1" applyBorder="1" applyAlignment="1">
      <alignment vertical="top" wrapText="1"/>
    </xf>
    <xf numFmtId="0" fontId="3" fillId="0" borderId="2" xfId="0" applyFont="1" applyBorder="1" applyAlignment="1">
      <alignment vertical="top" wrapText="1"/>
    </xf>
    <xf numFmtId="0" fontId="1" fillId="0" borderId="3" xfId="0" applyFont="1" applyBorder="1"/>
    <xf numFmtId="0" fontId="1" fillId="0" borderId="4" xfId="0" applyFont="1" applyBorder="1"/>
    <xf numFmtId="0" fontId="3" fillId="0" borderId="5" xfId="0" applyFont="1" applyBorder="1" applyAlignment="1">
      <alignment vertical="top" wrapText="1"/>
    </xf>
    <xf numFmtId="0" fontId="3" fillId="0" borderId="0" xfId="0" applyFont="1" applyAlignment="1">
      <alignment horizontal="center" vertical="center" wrapText="1"/>
    </xf>
    <xf numFmtId="0" fontId="3" fillId="0" borderId="0" xfId="0" applyFont="1" applyAlignment="1">
      <alignment vertical="center" wrapText="1"/>
    </xf>
    <xf numFmtId="0" fontId="1" fillId="0" borderId="6" xfId="0" applyFont="1" applyBorder="1"/>
    <xf numFmtId="0" fontId="1" fillId="0" borderId="7" xfId="0" applyFont="1" applyBorder="1"/>
    <xf numFmtId="0" fontId="6" fillId="2" borderId="9" xfId="0" applyFont="1" applyFill="1" applyBorder="1" applyAlignment="1">
      <alignment horizontal="center" vertical="center" wrapText="1"/>
    </xf>
    <xf numFmtId="0" fontId="6" fillId="2" borderId="9" xfId="0" applyFont="1" applyFill="1" applyBorder="1" applyAlignment="1">
      <alignment horizontal="center" vertical="center"/>
    </xf>
    <xf numFmtId="0" fontId="7" fillId="0" borderId="9" xfId="0" applyFont="1" applyBorder="1" applyAlignment="1">
      <alignment wrapText="1"/>
    </xf>
    <xf numFmtId="0" fontId="8" fillId="0" borderId="9" xfId="0" applyFont="1" applyBorder="1" applyAlignment="1">
      <alignment horizontal="center" vertical="center"/>
    </xf>
    <xf numFmtId="0" fontId="9" fillId="0" borderId="9" xfId="0" applyFont="1" applyBorder="1" applyAlignment="1">
      <alignment horizontal="center" vertical="center" wrapText="1"/>
    </xf>
    <xf numFmtId="0" fontId="10" fillId="0" borderId="9" xfId="0" applyFont="1" applyBorder="1" applyAlignment="1">
      <alignment horizontal="center" vertical="center"/>
    </xf>
    <xf numFmtId="0" fontId="11" fillId="0" borderId="9" xfId="0" applyFont="1" applyBorder="1" applyAlignment="1">
      <alignment horizontal="center"/>
    </xf>
    <xf numFmtId="0" fontId="7" fillId="0" borderId="9" xfId="0" applyFont="1" applyBorder="1" applyAlignment="1">
      <alignment horizontal="center" vertical="center"/>
    </xf>
    <xf numFmtId="0" fontId="12" fillId="0" borderId="9" xfId="0" applyFont="1" applyBorder="1" applyAlignment="1">
      <alignment wrapText="1"/>
    </xf>
    <xf numFmtId="0" fontId="13" fillId="0" borderId="9" xfId="0" applyFont="1" applyBorder="1" applyAlignment="1"/>
    <xf numFmtId="0" fontId="7" fillId="0" borderId="9" xfId="0" applyFont="1" applyBorder="1" applyAlignment="1">
      <alignment wrapText="1"/>
    </xf>
    <xf numFmtId="0" fontId="14" fillId="0" borderId="9" xfId="0" applyFont="1" applyBorder="1" applyAlignment="1">
      <alignment horizontal="center" vertical="center"/>
    </xf>
    <xf numFmtId="0" fontId="15" fillId="0" borderId="9" xfId="0" applyFont="1" applyBorder="1" applyAlignment="1"/>
    <xf numFmtId="0" fontId="11" fillId="0" borderId="9" xfId="0" applyFont="1" applyBorder="1" applyAlignment="1">
      <alignment horizontal="center"/>
    </xf>
    <xf numFmtId="0" fontId="14" fillId="0" borderId="9" xfId="0" applyFont="1" applyBorder="1" applyAlignment="1">
      <alignment horizontal="center" vertical="center"/>
    </xf>
    <xf numFmtId="0" fontId="14" fillId="3" borderId="9" xfId="0" applyFont="1" applyFill="1" applyBorder="1" applyAlignment="1">
      <alignment wrapText="1"/>
    </xf>
    <xf numFmtId="0" fontId="16" fillId="0" borderId="9" xfId="0" applyFont="1" applyBorder="1" applyAlignment="1">
      <alignment horizontal="center" vertical="center"/>
    </xf>
    <xf numFmtId="0" fontId="16" fillId="0" borderId="9" xfId="0" applyFont="1" applyBorder="1" applyAlignment="1">
      <alignment horizontal="center" vertical="center"/>
    </xf>
    <xf numFmtId="0" fontId="17" fillId="0" borderId="9" xfId="0" applyFont="1" applyBorder="1" applyAlignment="1"/>
    <xf numFmtId="0" fontId="18" fillId="3" borderId="9" xfId="0" applyFont="1" applyFill="1" applyBorder="1" applyAlignment="1">
      <alignment wrapText="1"/>
    </xf>
    <xf numFmtId="0" fontId="19" fillId="0" borderId="9" xfId="0" applyFont="1" applyBorder="1" applyAlignment="1">
      <alignment horizontal="center" vertical="center"/>
    </xf>
    <xf numFmtId="0" fontId="20" fillId="0" borderId="9" xfId="0" applyFont="1" applyBorder="1" applyAlignment="1">
      <alignment horizontal="center" vertical="center"/>
    </xf>
    <xf numFmtId="0" fontId="21" fillId="0" borderId="9" xfId="0" applyFont="1" applyBorder="1" applyAlignment="1">
      <alignment horizontal="center"/>
    </xf>
    <xf numFmtId="0" fontId="22" fillId="0" borderId="9" xfId="0" applyFont="1" applyBorder="1" applyAlignment="1">
      <alignment horizontal="center" vertical="center"/>
    </xf>
    <xf numFmtId="0" fontId="23" fillId="0" borderId="9" xfId="0" applyFont="1" applyBorder="1" applyAlignment="1"/>
    <xf numFmtId="0" fontId="24" fillId="0" borderId="9" xfId="0" applyFont="1" applyBorder="1" applyAlignment="1">
      <alignment horizontal="center" vertical="center"/>
    </xf>
    <xf numFmtId="0" fontId="25" fillId="0" borderId="9" xfId="0" applyFont="1" applyBorder="1" applyAlignment="1"/>
    <xf numFmtId="0" fontId="18" fillId="3" borderId="0" xfId="0" applyFont="1" applyFill="1" applyAlignment="1">
      <alignment wrapText="1"/>
    </xf>
    <xf numFmtId="0" fontId="22" fillId="0" borderId="9" xfId="0" applyFont="1" applyBorder="1" applyAlignment="1">
      <alignment wrapText="1"/>
    </xf>
    <xf numFmtId="0" fontId="1" fillId="0" borderId="9" xfId="0" applyFont="1" applyBorder="1"/>
    <xf numFmtId="0" fontId="22" fillId="0" borderId="9" xfId="0" applyFont="1" applyBorder="1" applyAlignment="1"/>
    <xf numFmtId="0" fontId="24" fillId="0" borderId="9" xfId="0" applyFont="1" applyBorder="1" applyAlignment="1">
      <alignment horizontal="center" vertical="center"/>
    </xf>
    <xf numFmtId="0" fontId="26" fillId="0" borderId="9" xfId="0" applyFont="1" applyBorder="1" applyAlignment="1"/>
    <xf numFmtId="0" fontId="27" fillId="0" borderId="9" xfId="0" applyFont="1" applyBorder="1" applyAlignment="1"/>
    <xf numFmtId="0" fontId="14" fillId="0" borderId="9" xfId="0" applyFont="1" applyBorder="1" applyAlignment="1">
      <alignment wrapText="1"/>
    </xf>
    <xf numFmtId="0" fontId="7" fillId="0" borderId="9" xfId="0" applyFont="1" applyBorder="1" applyAlignment="1">
      <alignment horizontal="center" vertical="center"/>
    </xf>
    <xf numFmtId="0" fontId="28" fillId="0" borderId="9" xfId="0" applyFont="1" applyBorder="1" applyAlignment="1"/>
    <xf numFmtId="0" fontId="29" fillId="3" borderId="9" xfId="0" applyFont="1" applyFill="1" applyBorder="1" applyAlignment="1">
      <alignment wrapText="1"/>
    </xf>
    <xf numFmtId="0" fontId="15" fillId="0" borderId="9" xfId="0" applyFont="1" applyBorder="1" applyAlignment="1"/>
    <xf numFmtId="0" fontId="15" fillId="0" borderId="0" xfId="0" applyFont="1" applyAlignment="1"/>
    <xf numFmtId="0" fontId="30" fillId="0" borderId="9" xfId="0" applyFont="1" applyBorder="1" applyAlignment="1"/>
    <xf numFmtId="0" fontId="7" fillId="0" borderId="9" xfId="0" applyFont="1" applyBorder="1" applyAlignment="1">
      <alignment horizontal="center" vertical="center" wrapText="1"/>
    </xf>
    <xf numFmtId="0" fontId="31" fillId="0" borderId="9" xfId="0" applyFont="1" applyBorder="1" applyAlignment="1"/>
    <xf numFmtId="0" fontId="7" fillId="0" borderId="9" xfId="0" applyFont="1" applyBorder="1" applyAlignment="1">
      <alignment horizontal="center" vertical="center" wrapText="1"/>
    </xf>
    <xf numFmtId="0" fontId="32" fillId="0" borderId="0" xfId="0" applyFont="1" applyAlignment="1"/>
    <xf numFmtId="0" fontId="2" fillId="0" borderId="9" xfId="0" applyFont="1" applyBorder="1"/>
    <xf numFmtId="0" fontId="33" fillId="0" borderId="9" xfId="0" applyFont="1" applyBorder="1" applyAlignment="1"/>
    <xf numFmtId="0" fontId="34" fillId="0" borderId="9" xfId="0" applyFont="1" applyBorder="1" applyAlignment="1"/>
    <xf numFmtId="0" fontId="35" fillId="0" borderId="0" xfId="0" applyFont="1" applyAlignment="1"/>
    <xf numFmtId="0" fontId="14" fillId="0" borderId="10" xfId="0" applyFont="1" applyBorder="1" applyAlignment="1">
      <alignment horizontal="center"/>
    </xf>
    <xf numFmtId="0" fontId="36" fillId="0" borderId="10" xfId="0" applyFont="1" applyBorder="1" applyAlignment="1">
      <alignment wrapText="1"/>
    </xf>
    <xf numFmtId="0" fontId="11" fillId="0" borderId="11" xfId="0" applyFont="1" applyBorder="1" applyAlignment="1">
      <alignment horizontal="center"/>
    </xf>
    <xf numFmtId="0" fontId="14" fillId="0" borderId="12" xfId="0" applyFont="1" applyBorder="1" applyAlignment="1">
      <alignment horizontal="center"/>
    </xf>
    <xf numFmtId="0" fontId="37" fillId="0" borderId="12" xfId="0" applyFont="1" applyBorder="1" applyAlignment="1">
      <alignment wrapText="1"/>
    </xf>
    <xf numFmtId="0" fontId="14" fillId="0" borderId="12" xfId="0" applyFont="1" applyBorder="1" applyAlignment="1">
      <alignment horizontal="center"/>
    </xf>
    <xf numFmtId="0" fontId="38" fillId="0" borderId="12" xfId="0" applyFont="1" applyBorder="1" applyAlignment="1"/>
    <xf numFmtId="0" fontId="7" fillId="0" borderId="12" xfId="0" applyFont="1" applyBorder="1" applyAlignment="1">
      <alignment horizontal="center"/>
    </xf>
    <xf numFmtId="49" fontId="39" fillId="0" borderId="12" xfId="0" applyNumberFormat="1" applyFont="1" applyBorder="1" applyAlignment="1">
      <alignment wrapText="1"/>
    </xf>
    <xf numFmtId="0" fontId="40" fillId="0" borderId="12" xfId="0" applyFont="1" applyBorder="1" applyAlignment="1"/>
    <xf numFmtId="0" fontId="11" fillId="0" borderId="9" xfId="0" applyFont="1" applyBorder="1" applyAlignment="1">
      <alignment horizontal="center" vertical="center"/>
    </xf>
    <xf numFmtId="0" fontId="41" fillId="0" borderId="9" xfId="0" applyFont="1" applyBorder="1" applyAlignment="1">
      <alignment vertical="center"/>
    </xf>
    <xf numFmtId="0" fontId="42" fillId="0" borderId="9" xfId="0" applyFont="1" applyBorder="1" applyAlignment="1">
      <alignment vertical="center"/>
    </xf>
    <xf numFmtId="0" fontId="11" fillId="0" borderId="9" xfId="0" applyFont="1" applyBorder="1" applyAlignment="1">
      <alignment horizontal="center" vertical="center"/>
    </xf>
    <xf numFmtId="0" fontId="43" fillId="0" borderId="9" xfId="0" applyFont="1" applyBorder="1" applyAlignment="1">
      <alignment horizontal="center" vertical="center"/>
    </xf>
    <xf numFmtId="0" fontId="2" fillId="0" borderId="0" xfId="0" applyFont="1" applyAlignment="1">
      <alignment vertical="center"/>
    </xf>
    <xf numFmtId="0" fontId="11" fillId="0" borderId="9" xfId="0" applyFont="1" applyBorder="1" applyAlignment="1">
      <alignment horizontal="center" vertical="center"/>
    </xf>
    <xf numFmtId="0" fontId="14" fillId="3" borderId="9" xfId="0" applyFont="1" applyFill="1" applyBorder="1" applyAlignment="1">
      <alignment horizontal="center" vertical="center"/>
    </xf>
    <xf numFmtId="0" fontId="14" fillId="3" borderId="9" xfId="0" applyFont="1" applyFill="1" applyBorder="1" applyAlignment="1">
      <alignment wrapText="1"/>
    </xf>
    <xf numFmtId="164" fontId="11" fillId="0" borderId="9" xfId="0" applyNumberFormat="1" applyFont="1" applyBorder="1" applyAlignment="1">
      <alignment horizontal="center"/>
    </xf>
    <xf numFmtId="164" fontId="14" fillId="0" borderId="9" xfId="0" applyNumberFormat="1" applyFont="1" applyBorder="1" applyAlignment="1">
      <alignment horizontal="center" vertical="center"/>
    </xf>
    <xf numFmtId="0" fontId="16" fillId="3" borderId="9" xfId="0" applyFont="1" applyFill="1" applyBorder="1" applyAlignment="1">
      <alignment wrapText="1"/>
    </xf>
    <xf numFmtId="0" fontId="44" fillId="0" borderId="9" xfId="0" applyFont="1" applyBorder="1" applyAlignment="1"/>
    <xf numFmtId="0" fontId="8" fillId="0" borderId="11" xfId="0" applyFont="1" applyBorder="1" applyAlignment="1">
      <alignment horizontal="center" vertical="center"/>
    </xf>
    <xf numFmtId="0" fontId="11" fillId="0" borderId="11" xfId="0" applyFont="1" applyBorder="1" applyAlignment="1">
      <alignment horizontal="center"/>
    </xf>
    <xf numFmtId="0" fontId="16" fillId="3" borderId="0" xfId="0" applyFont="1" applyFill="1" applyAlignment="1">
      <alignment wrapText="1"/>
    </xf>
    <xf numFmtId="0" fontId="14" fillId="0" borderId="9" xfId="0" applyFont="1" applyBorder="1" applyAlignment="1">
      <alignment horizontal="center"/>
    </xf>
    <xf numFmtId="0" fontId="45" fillId="0" borderId="9" xfId="0" applyFont="1" applyBorder="1" applyAlignment="1">
      <alignment wrapText="1"/>
    </xf>
    <xf numFmtId="0" fontId="14" fillId="3" borderId="9" xfId="0" applyFont="1" applyFill="1" applyBorder="1" applyAlignment="1">
      <alignment horizontal="center" vertical="center"/>
    </xf>
    <xf numFmtId="0" fontId="46" fillId="0" borderId="9" xfId="0" applyFont="1" applyBorder="1" applyAlignment="1">
      <alignment horizontal="center"/>
    </xf>
    <xf numFmtId="0" fontId="47" fillId="0" borderId="9" xfId="0" applyFont="1" applyBorder="1" applyAlignment="1">
      <alignment wrapText="1"/>
    </xf>
    <xf numFmtId="0" fontId="48" fillId="0" borderId="9" xfId="0" applyFont="1" applyBorder="1" applyAlignment="1"/>
    <xf numFmtId="0" fontId="49" fillId="0" borderId="9" xfId="0" applyFont="1" applyBorder="1" applyAlignment="1"/>
    <xf numFmtId="0" fontId="1" fillId="3" borderId="0" xfId="0" applyFont="1" applyFill="1" applyAlignment="1">
      <alignment horizontal="center" vertical="center"/>
    </xf>
    <xf numFmtId="0" fontId="51" fillId="3" borderId="16" xfId="0" applyFont="1" applyFill="1" applyBorder="1" applyAlignment="1">
      <alignment horizontal="left" vertical="center" wrapText="1"/>
    </xf>
    <xf numFmtId="0" fontId="51" fillId="3" borderId="16" xfId="0" applyFont="1" applyFill="1" applyBorder="1" applyAlignment="1">
      <alignment horizontal="center" vertical="center" wrapText="1"/>
    </xf>
    <xf numFmtId="0" fontId="53" fillId="3" borderId="18" xfId="0" applyFont="1" applyFill="1" applyBorder="1" applyAlignment="1">
      <alignment horizontal="left" vertical="top" wrapText="1"/>
    </xf>
    <xf numFmtId="0" fontId="54" fillId="3" borderId="19" xfId="0" applyFont="1" applyFill="1" applyBorder="1" applyAlignment="1">
      <alignment horizontal="center" vertical="center"/>
    </xf>
    <xf numFmtId="0" fontId="55" fillId="3" borderId="17" xfId="0" applyFont="1" applyFill="1" applyBorder="1" applyAlignment="1">
      <alignment horizontal="left" vertical="center" wrapText="1"/>
    </xf>
    <xf numFmtId="0" fontId="1" fillId="4" borderId="0" xfId="0" applyFont="1" applyFill="1" applyAlignment="1">
      <alignment horizontal="center" vertical="center"/>
    </xf>
    <xf numFmtId="0" fontId="57" fillId="0" borderId="20" xfId="0" applyFont="1" applyBorder="1" applyAlignment="1">
      <alignment horizontal="center" vertical="center"/>
    </xf>
    <xf numFmtId="0" fontId="58" fillId="0" borderId="21" xfId="0" applyFont="1" applyBorder="1" applyAlignment="1">
      <alignment vertical="center" wrapText="1"/>
    </xf>
    <xf numFmtId="0" fontId="1" fillId="3" borderId="0" xfId="0" applyFont="1" applyFill="1" applyAlignment="1">
      <alignment horizontal="center" vertical="center"/>
    </xf>
    <xf numFmtId="0" fontId="57" fillId="0" borderId="0" xfId="0" applyFont="1" applyAlignment="1">
      <alignment horizontal="center" vertical="center"/>
    </xf>
    <xf numFmtId="0" fontId="60" fillId="0" borderId="0" xfId="0" applyFont="1" applyAlignment="1">
      <alignment vertical="center" wrapText="1"/>
    </xf>
    <xf numFmtId="0" fontId="61" fillId="0" borderId="0" xfId="0" applyFont="1" applyAlignment="1">
      <alignment horizontal="center" vertical="center" wrapText="1"/>
    </xf>
    <xf numFmtId="0" fontId="62" fillId="3" borderId="0" xfId="0" applyFont="1" applyFill="1" applyAlignment="1">
      <alignment horizontal="left" vertical="center" wrapText="1"/>
    </xf>
    <xf numFmtId="0" fontId="63" fillId="3" borderId="0" xfId="0" applyFont="1" applyFill="1" applyAlignment="1">
      <alignment horizontal="center" vertical="center" wrapText="1"/>
    </xf>
    <xf numFmtId="0" fontId="64" fillId="3" borderId="0" xfId="0" applyFont="1" applyFill="1" applyAlignment="1">
      <alignment horizontal="left" vertical="center" wrapText="1"/>
    </xf>
    <xf numFmtId="0" fontId="65" fillId="3" borderId="16" xfId="0" applyFont="1" applyFill="1" applyBorder="1" applyAlignment="1">
      <alignment horizontal="left" vertical="center" wrapText="1"/>
    </xf>
    <xf numFmtId="0" fontId="52" fillId="3" borderId="0" xfId="0" applyFont="1" applyFill="1" applyAlignment="1">
      <alignment horizontal="center" vertical="center"/>
    </xf>
    <xf numFmtId="0" fontId="52" fillId="3" borderId="17" xfId="0" applyFont="1" applyFill="1" applyBorder="1" applyAlignment="1">
      <alignment horizontal="center" vertical="center"/>
    </xf>
    <xf numFmtId="0" fontId="67" fillId="5" borderId="22" xfId="0" applyFont="1" applyFill="1" applyBorder="1" applyAlignment="1">
      <alignment horizontal="center" vertical="center" wrapText="1"/>
    </xf>
    <xf numFmtId="0" fontId="68" fillId="5" borderId="22" xfId="0" applyFont="1" applyFill="1" applyBorder="1" applyAlignment="1">
      <alignment horizontal="center" vertical="center" wrapText="1"/>
    </xf>
    <xf numFmtId="0" fontId="68" fillId="5" borderId="22" xfId="0" applyFont="1" applyFill="1" applyBorder="1" applyAlignment="1">
      <alignment horizontal="left" vertical="center" wrapText="1"/>
    </xf>
    <xf numFmtId="0" fontId="69" fillId="0" borderId="0" xfId="0" applyFont="1" applyAlignment="1">
      <alignment horizontal="left" vertical="center" wrapText="1"/>
    </xf>
    <xf numFmtId="0" fontId="54" fillId="0" borderId="26" xfId="0" applyFont="1" applyBorder="1" applyAlignment="1">
      <alignment vertical="center" wrapText="1"/>
    </xf>
    <xf numFmtId="0" fontId="59" fillId="0" borderId="27" xfId="0" applyFont="1" applyBorder="1" applyAlignment="1">
      <alignment vertical="center" wrapText="1"/>
    </xf>
    <xf numFmtId="0" fontId="69" fillId="0" borderId="0" xfId="0" applyFont="1" applyAlignment="1">
      <alignment horizontal="left" vertical="center" wrapText="1"/>
    </xf>
    <xf numFmtId="0" fontId="69" fillId="0" borderId="0" xfId="0" applyFont="1" applyAlignment="1">
      <alignment horizontal="left" vertical="center" wrapText="1"/>
    </xf>
    <xf numFmtId="0" fontId="54" fillId="0" borderId="0" xfId="0" applyFont="1" applyAlignment="1">
      <alignment vertical="center" wrapText="1"/>
    </xf>
    <xf numFmtId="0" fontId="59" fillId="0" borderId="0" xfId="0" applyFont="1" applyAlignment="1">
      <alignment vertical="center" wrapText="1"/>
    </xf>
    <xf numFmtId="0" fontId="61" fillId="6" borderId="0" xfId="0" applyFont="1" applyFill="1" applyAlignment="1">
      <alignment horizontal="center" vertical="center" wrapText="1"/>
    </xf>
    <xf numFmtId="0" fontId="72" fillId="6" borderId="0" xfId="0" applyFont="1" applyFill="1" applyAlignment="1">
      <alignment horizontal="center" vertical="center"/>
    </xf>
    <xf numFmtId="0" fontId="74" fillId="6" borderId="0" xfId="0" applyFont="1" applyFill="1" applyAlignment="1">
      <alignment horizontal="center" vertical="center"/>
    </xf>
    <xf numFmtId="0" fontId="76" fillId="6" borderId="9" xfId="0" applyFont="1" applyFill="1" applyBorder="1" applyAlignment="1">
      <alignment horizontal="center" vertical="center"/>
    </xf>
    <xf numFmtId="0" fontId="76" fillId="6" borderId="30" xfId="0" applyFont="1" applyFill="1" applyBorder="1" applyAlignment="1">
      <alignment horizontal="center" vertical="center"/>
    </xf>
    <xf numFmtId="0" fontId="77" fillId="6" borderId="31" xfId="0" applyFont="1" applyFill="1" applyBorder="1" applyAlignment="1">
      <alignment horizontal="center" vertical="center"/>
    </xf>
    <xf numFmtId="0" fontId="76" fillId="6" borderId="10" xfId="0" applyFont="1" applyFill="1" applyBorder="1" applyAlignment="1">
      <alignment horizontal="center" vertical="center"/>
    </xf>
    <xf numFmtId="0" fontId="70" fillId="6" borderId="9" xfId="0" applyFont="1" applyFill="1" applyBorder="1" applyAlignment="1">
      <alignment vertical="center" wrapText="1"/>
    </xf>
    <xf numFmtId="0" fontId="70" fillId="0" borderId="11" xfId="0" applyFont="1" applyBorder="1" applyAlignment="1">
      <alignment horizontal="center" vertical="center" wrapText="1"/>
    </xf>
    <xf numFmtId="0" fontId="78" fillId="0" borderId="11" xfId="0" applyFont="1" applyBorder="1" applyAlignment="1">
      <alignment horizontal="left" vertical="center" wrapText="1"/>
    </xf>
    <xf numFmtId="0" fontId="79" fillId="0" borderId="11" xfId="0" applyFont="1" applyBorder="1" applyAlignment="1">
      <alignment vertical="center" wrapText="1"/>
    </xf>
    <xf numFmtId="0" fontId="70" fillId="0" borderId="9" xfId="0" applyFont="1" applyBorder="1" applyAlignment="1">
      <alignment horizontal="center" vertical="center" wrapText="1"/>
    </xf>
    <xf numFmtId="0" fontId="80" fillId="0" borderId="9" xfId="0" applyFont="1" applyBorder="1" applyAlignment="1">
      <alignment horizontal="left" vertical="center" wrapText="1"/>
    </xf>
    <xf numFmtId="0" fontId="81" fillId="0" borderId="9" xfId="0" applyFont="1" applyBorder="1" applyAlignment="1">
      <alignment vertical="center" wrapText="1"/>
    </xf>
    <xf numFmtId="0" fontId="82" fillId="0" borderId="9" xfId="0" applyFont="1" applyBorder="1" applyAlignment="1">
      <alignment vertical="center" wrapText="1"/>
    </xf>
    <xf numFmtId="0" fontId="82" fillId="0" borderId="9" xfId="0" applyFont="1" applyBorder="1" applyAlignment="1">
      <alignment vertical="center" wrapText="1"/>
    </xf>
    <xf numFmtId="0" fontId="82" fillId="0" borderId="9" xfId="0" applyFont="1" applyBorder="1" applyAlignment="1">
      <alignment horizontal="left" vertical="center" wrapText="1"/>
    </xf>
    <xf numFmtId="0" fontId="70" fillId="6" borderId="0" xfId="0" applyFont="1" applyFill="1" applyAlignment="1">
      <alignment vertical="center" wrapText="1"/>
    </xf>
    <xf numFmtId="0" fontId="70" fillId="0" borderId="0" xfId="0" applyFont="1" applyAlignment="1">
      <alignment horizontal="center" vertical="center" wrapText="1"/>
    </xf>
    <xf numFmtId="0" fontId="83" fillId="0" borderId="0" xfId="0" applyFont="1" applyAlignment="1">
      <alignment horizontal="left" vertical="center" wrapText="1"/>
    </xf>
    <xf numFmtId="0" fontId="82" fillId="0" borderId="0" xfId="0" applyFont="1" applyAlignment="1">
      <alignment vertical="center" wrapText="1"/>
    </xf>
    <xf numFmtId="0" fontId="82" fillId="0" borderId="0" xfId="0" applyFont="1" applyAlignment="1">
      <alignment horizontal="left" vertical="center" wrapText="1"/>
    </xf>
    <xf numFmtId="0" fontId="82" fillId="0" borderId="0" xfId="0" applyFont="1" applyAlignment="1">
      <alignment vertical="center" wrapText="1"/>
    </xf>
    <xf numFmtId="0" fontId="84" fillId="0" borderId="9" xfId="0" applyFont="1" applyBorder="1" applyAlignment="1">
      <alignment vertical="center" wrapText="1"/>
    </xf>
    <xf numFmtId="0" fontId="70" fillId="0" borderId="9" xfId="0" applyFont="1" applyBorder="1" applyAlignment="1">
      <alignment horizontal="left" vertical="center" wrapText="1"/>
    </xf>
    <xf numFmtId="0" fontId="70" fillId="0" borderId="9" xfId="0" applyFont="1" applyBorder="1" applyAlignment="1">
      <alignment vertical="center" wrapText="1"/>
    </xf>
    <xf numFmtId="0" fontId="85" fillId="0" borderId="9" xfId="0" applyFont="1" applyBorder="1" applyAlignment="1">
      <alignment horizontal="left" vertical="center" wrapText="1"/>
    </xf>
    <xf numFmtId="0" fontId="70" fillId="0" borderId="0" xfId="0" applyFont="1" applyAlignment="1">
      <alignment horizontal="left" vertical="center" wrapText="1"/>
    </xf>
    <xf numFmtId="0" fontId="70" fillId="0" borderId="0" xfId="0" applyFont="1" applyAlignment="1">
      <alignment vertical="center" wrapText="1"/>
    </xf>
    <xf numFmtId="0" fontId="86" fillId="0" borderId="9" xfId="0" applyFont="1" applyBorder="1" applyAlignment="1">
      <alignment horizontal="center" vertical="center" wrapText="1"/>
    </xf>
    <xf numFmtId="49" fontId="87" fillId="0" borderId="9" xfId="0" applyNumberFormat="1" applyFont="1" applyBorder="1" applyAlignment="1">
      <alignment horizontal="left" vertical="center" wrapText="1"/>
    </xf>
    <xf numFmtId="164" fontId="70" fillId="0" borderId="9" xfId="0" applyNumberFormat="1" applyFont="1" applyBorder="1" applyAlignment="1">
      <alignment horizontal="center" vertical="center" wrapText="1"/>
    </xf>
    <xf numFmtId="0" fontId="88" fillId="0" borderId="0" xfId="0" applyFont="1" applyAlignment="1">
      <alignment horizontal="left" vertical="center" wrapText="1"/>
    </xf>
    <xf numFmtId="0" fontId="0" fillId="0" borderId="0" xfId="0" applyFont="1" applyAlignment="1"/>
    <xf numFmtId="0" fontId="3" fillId="0" borderId="0" xfId="0" applyFont="1" applyAlignment="1">
      <alignment vertical="top" wrapText="1"/>
    </xf>
    <xf numFmtId="0" fontId="50" fillId="3" borderId="13" xfId="0" applyFont="1" applyFill="1" applyBorder="1" applyAlignment="1">
      <alignment vertical="center" wrapText="1"/>
    </xf>
    <xf numFmtId="0" fontId="51" fillId="3" borderId="14" xfId="0" applyFont="1" applyFill="1" applyBorder="1" applyAlignment="1">
      <alignment horizontal="right" vertical="center" wrapText="1"/>
    </xf>
    <xf numFmtId="0" fontId="2" fillId="0" borderId="15" xfId="0" applyFont="1" applyBorder="1"/>
    <xf numFmtId="0" fontId="52" fillId="3" borderId="0" xfId="0" applyFont="1" applyFill="1" applyAlignment="1">
      <alignment horizontal="center" vertical="center" wrapText="1"/>
    </xf>
    <xf numFmtId="0" fontId="2" fillId="0" borderId="17" xfId="0" applyFont="1" applyBorder="1"/>
    <xf numFmtId="0" fontId="56" fillId="3" borderId="0" xfId="0" applyFont="1" applyFill="1" applyAlignment="1">
      <alignment horizontal="center" vertical="center" wrapText="1"/>
    </xf>
    <xf numFmtId="0" fontId="1" fillId="4" borderId="0" xfId="0" applyFont="1" applyFill="1" applyAlignment="1">
      <alignment horizontal="center" vertical="center"/>
    </xf>
    <xf numFmtId="0" fontId="59" fillId="0" borderId="8" xfId="0" applyFont="1" applyBorder="1" applyAlignment="1">
      <alignment vertical="center" wrapText="1"/>
    </xf>
    <xf numFmtId="0" fontId="59" fillId="0" borderId="0" xfId="0" applyFont="1" applyAlignment="1">
      <alignment vertical="center" wrapText="1"/>
    </xf>
    <xf numFmtId="0" fontId="59" fillId="0" borderId="26" xfId="0" applyFont="1" applyBorder="1" applyAlignment="1">
      <alignment vertical="center" wrapText="1"/>
    </xf>
    <xf numFmtId="0" fontId="70" fillId="0" borderId="29" xfId="0" applyFont="1" applyBorder="1" applyAlignment="1">
      <alignment horizontal="left" vertical="center" wrapText="1"/>
    </xf>
    <xf numFmtId="0" fontId="2" fillId="0" borderId="29" xfId="0" applyFont="1" applyBorder="1"/>
    <xf numFmtId="0" fontId="2" fillId="0" borderId="10" xfId="0" applyFont="1" applyBorder="1"/>
    <xf numFmtId="0" fontId="68" fillId="5" borderId="23" xfId="0" applyFont="1" applyFill="1" applyBorder="1" applyAlignment="1">
      <alignment horizontal="left" vertical="center" wrapText="1"/>
    </xf>
    <xf numFmtId="0" fontId="2" fillId="0" borderId="25" xfId="0" applyFont="1" applyBorder="1"/>
    <xf numFmtId="0" fontId="2" fillId="0" borderId="24" xfId="0" applyFont="1" applyBorder="1"/>
    <xf numFmtId="0" fontId="50" fillId="3" borderId="0" xfId="0" applyFont="1" applyFill="1" applyAlignment="1">
      <alignment horizontal="left" vertical="center" wrapText="1"/>
    </xf>
    <xf numFmtId="0" fontId="52" fillId="3" borderId="16" xfId="0" applyFont="1" applyFill="1" applyBorder="1" applyAlignment="1">
      <alignment horizontal="center" vertical="center" wrapText="1"/>
    </xf>
    <xf numFmtId="0" fontId="52" fillId="3" borderId="0" xfId="0" applyFont="1" applyFill="1" applyAlignment="1">
      <alignment horizontal="center" vertical="center"/>
    </xf>
    <xf numFmtId="0" fontId="66" fillId="3" borderId="0" xfId="0" applyFont="1" applyFill="1" applyAlignment="1">
      <alignment horizontal="center" vertical="center" wrapText="1"/>
    </xf>
    <xf numFmtId="0" fontId="68" fillId="5" borderId="23" xfId="0" applyFont="1" applyFill="1" applyBorder="1" applyAlignment="1">
      <alignment horizontal="center" vertical="center" wrapText="1"/>
    </xf>
    <xf numFmtId="0" fontId="70" fillId="0" borderId="28" xfId="0" applyFont="1" applyBorder="1" applyAlignment="1">
      <alignment horizontal="left" vertical="center" wrapText="1"/>
    </xf>
    <xf numFmtId="0" fontId="2" fillId="0" borderId="28" xfId="0" applyFont="1" applyBorder="1"/>
    <xf numFmtId="0" fontId="2" fillId="0" borderId="12" xfId="0" applyFont="1" applyBorder="1"/>
    <xf numFmtId="0" fontId="73" fillId="4" borderId="0" xfId="0" applyFont="1" applyFill="1" applyAlignment="1">
      <alignment horizontal="center" vertical="center" wrapText="1"/>
    </xf>
    <xf numFmtId="0" fontId="75" fillId="0" borderId="0" xfId="0" applyFont="1" applyAlignment="1">
      <alignment horizontal="left" vertical="center" wrapText="1"/>
    </xf>
    <xf numFmtId="0" fontId="71" fillId="6" borderId="0" xfId="0" applyFont="1" applyFill="1" applyAlignment="1">
      <alignment horizontal="center" vertical="center" wrapText="1"/>
    </xf>
    <xf numFmtId="0" fontId="92" fillId="0" borderId="2" xfId="0" applyFont="1" applyBorder="1" applyAlignment="1">
      <alignment wrapText="1"/>
    </xf>
    <xf numFmtId="0" fontId="92" fillId="0" borderId="3" xfId="0" applyFont="1" applyBorder="1" applyAlignment="1">
      <alignment wrapText="1"/>
    </xf>
    <xf numFmtId="0" fontId="92" fillId="0" borderId="1" xfId="0" applyFont="1" applyBorder="1" applyAlignment="1">
      <alignment horizontal="center" vertical="center" wrapText="1"/>
    </xf>
    <xf numFmtId="0" fontId="95" fillId="0" borderId="0" xfId="0" applyFont="1" applyAlignment="1"/>
    <xf numFmtId="0" fontId="96" fillId="0" borderId="0" xfId="0" applyFont="1" applyAlignment="1">
      <alignment vertical="top"/>
    </xf>
    <xf numFmtId="0" fontId="97" fillId="0" borderId="0" xfId="0" applyFont="1" applyAlignment="1"/>
    <xf numFmtId="0" fontId="5" fillId="0" borderId="2" xfId="0" applyFont="1" applyBorder="1" applyAlignment="1">
      <alignment vertical="top" wrapText="1"/>
    </xf>
    <xf numFmtId="0" fontId="3" fillId="0" borderId="5" xfId="0" applyFont="1" applyBorder="1" applyAlignment="1">
      <alignment horizontal="center" vertical="top"/>
    </xf>
    <xf numFmtId="0" fontId="3" fillId="0" borderId="0" xfId="0" applyFont="1"/>
    <xf numFmtId="0" fontId="3" fillId="0" borderId="0" xfId="0" applyFont="1" applyAlignment="1">
      <alignment horizontal="center" vertical="center"/>
    </xf>
    <xf numFmtId="0" fontId="3" fillId="0" borderId="5" xfId="0" applyFont="1" applyBorder="1" applyAlignment="1">
      <alignment horizontal="left" vertical="center"/>
    </xf>
    <xf numFmtId="0" fontId="3" fillId="0" borderId="7" xfId="0" applyFont="1" applyBorder="1"/>
    <xf numFmtId="0" fontId="3" fillId="0" borderId="8" xfId="0" applyFont="1" applyBorder="1"/>
    <xf numFmtId="0" fontId="3" fillId="0" borderId="8" xfId="0" applyFont="1" applyBorder="1" applyAlignment="1">
      <alignment horizontal="center" vertical="center"/>
    </xf>
    <xf numFmtId="0" fontId="103" fillId="0" borderId="13" xfId="0" applyFont="1" applyBorder="1"/>
    <xf numFmtId="0" fontId="15" fillId="0" borderId="8" xfId="0" applyFont="1" applyBorder="1"/>
    <xf numFmtId="0" fontId="15" fillId="0" borderId="21" xfId="0" applyFont="1" applyBorder="1"/>
    <xf numFmtId="0" fontId="104" fillId="0" borderId="0" xfId="0" applyFont="1" applyAlignment="1"/>
    <xf numFmtId="0" fontId="106" fillId="0" borderId="0" xfId="0" applyFont="1" applyAlignment="1"/>
    <xf numFmtId="0" fontId="51" fillId="3" borderId="14" xfId="0" applyFont="1" applyFill="1" applyBorder="1" applyAlignment="1">
      <alignment horizontal="left" vertical="center" wrapText="1"/>
    </xf>
    <xf numFmtId="0" fontId="89" fillId="0" borderId="15" xfId="0" applyFont="1" applyBorder="1"/>
    <xf numFmtId="0" fontId="89" fillId="0" borderId="16" xfId="0" applyFont="1" applyBorder="1"/>
    <xf numFmtId="0" fontId="107" fillId="0" borderId="0" xfId="0" applyFont="1" applyAlignment="1"/>
    <xf numFmtId="0" fontId="65" fillId="3" borderId="0" xfId="0" applyFont="1" applyFill="1" applyAlignment="1">
      <alignment horizontal="center" vertical="center" wrapText="1"/>
    </xf>
    <xf numFmtId="0" fontId="89" fillId="0" borderId="17" xfId="0" applyFont="1" applyBorder="1"/>
    <xf numFmtId="0" fontId="58" fillId="0" borderId="26" xfId="0" applyFont="1" applyBorder="1" applyAlignment="1">
      <alignment vertical="center" wrapText="1"/>
    </xf>
    <xf numFmtId="0" fontId="15" fillId="0" borderId="26" xfId="0" applyFont="1" applyBorder="1"/>
    <xf numFmtId="0" fontId="15" fillId="0" borderId="27" xfId="0" applyFont="1" applyBorder="1"/>
    <xf numFmtId="0" fontId="60" fillId="0" borderId="26" xfId="0" applyFont="1" applyBorder="1" applyAlignment="1">
      <alignmen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18" Type="http://schemas.openxmlformats.org/officeDocument/2006/relationships/image" Target="../media/image24.png"/><Relationship Id="rId26" Type="http://schemas.openxmlformats.org/officeDocument/2006/relationships/image" Target="../media/image32.png"/><Relationship Id="rId3" Type="http://schemas.openxmlformats.org/officeDocument/2006/relationships/image" Target="../media/image9.png"/><Relationship Id="rId21" Type="http://schemas.openxmlformats.org/officeDocument/2006/relationships/image" Target="../media/image27.png"/><Relationship Id="rId7" Type="http://schemas.openxmlformats.org/officeDocument/2006/relationships/image" Target="../media/image13.png"/><Relationship Id="rId12" Type="http://schemas.openxmlformats.org/officeDocument/2006/relationships/image" Target="../media/image18.png"/><Relationship Id="rId17" Type="http://schemas.openxmlformats.org/officeDocument/2006/relationships/image" Target="../media/image23.png"/><Relationship Id="rId25" Type="http://schemas.openxmlformats.org/officeDocument/2006/relationships/image" Target="../media/image31.png"/><Relationship Id="rId2" Type="http://schemas.openxmlformats.org/officeDocument/2006/relationships/image" Target="../media/image8.png"/><Relationship Id="rId16" Type="http://schemas.openxmlformats.org/officeDocument/2006/relationships/image" Target="../media/image22.png"/><Relationship Id="rId20" Type="http://schemas.openxmlformats.org/officeDocument/2006/relationships/image" Target="../media/image26.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24" Type="http://schemas.openxmlformats.org/officeDocument/2006/relationships/image" Target="../media/image30.png"/><Relationship Id="rId5" Type="http://schemas.openxmlformats.org/officeDocument/2006/relationships/image" Target="../media/image11.png"/><Relationship Id="rId15" Type="http://schemas.openxmlformats.org/officeDocument/2006/relationships/image" Target="../media/image21.png"/><Relationship Id="rId23" Type="http://schemas.openxmlformats.org/officeDocument/2006/relationships/image" Target="../media/image29.png"/><Relationship Id="rId28" Type="http://schemas.openxmlformats.org/officeDocument/2006/relationships/image" Target="../media/image34.png"/><Relationship Id="rId10" Type="http://schemas.openxmlformats.org/officeDocument/2006/relationships/image" Target="../media/image16.png"/><Relationship Id="rId19" Type="http://schemas.openxmlformats.org/officeDocument/2006/relationships/image" Target="../media/image25.png"/><Relationship Id="rId4" Type="http://schemas.openxmlformats.org/officeDocument/2006/relationships/image" Target="../media/image10.png"/><Relationship Id="rId9" Type="http://schemas.openxmlformats.org/officeDocument/2006/relationships/image" Target="../media/image15.png"/><Relationship Id="rId14" Type="http://schemas.openxmlformats.org/officeDocument/2006/relationships/image" Target="../media/image20.png"/><Relationship Id="rId22" Type="http://schemas.openxmlformats.org/officeDocument/2006/relationships/image" Target="../media/image28.png"/><Relationship Id="rId27" Type="http://schemas.openxmlformats.org/officeDocument/2006/relationships/image" Target="../media/image33.png"/></Relationships>
</file>

<file path=xl/drawings/drawing1.xml><?xml version="1.0" encoding="utf-8"?>
<xdr:wsDr xmlns:xdr="http://schemas.openxmlformats.org/drawingml/2006/spreadsheetDrawing" xmlns:a="http://schemas.openxmlformats.org/drawingml/2006/main">
  <xdr:oneCellAnchor>
    <xdr:from>
      <xdr:col>2</xdr:col>
      <xdr:colOff>9525</xdr:colOff>
      <xdr:row>1</xdr:row>
      <xdr:rowOff>190500</xdr:rowOff>
    </xdr:from>
    <xdr:ext cx="1838325" cy="361950"/>
    <xdr:pic>
      <xdr:nvPicPr>
        <xdr:cNvPr id="2" name="image1.png" title="Image">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546100</xdr:colOff>
      <xdr:row>8</xdr:row>
      <xdr:rowOff>1</xdr:rowOff>
    </xdr:from>
    <xdr:ext cx="4318000" cy="1485092"/>
    <xdr:pic>
      <xdr:nvPicPr>
        <xdr:cNvPr id="3" name="image2.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xfrm>
          <a:off x="1930400" y="4775201"/>
          <a:ext cx="4318000" cy="1485092"/>
        </a:xfrm>
        <a:prstGeom prst="rect">
          <a:avLst/>
        </a:prstGeom>
        <a:noFill/>
      </xdr:spPr>
    </xdr:pic>
    <xdr:clientData fLocksWithSheet="0"/>
  </xdr:oneCellAnchor>
  <xdr:oneCellAnchor>
    <xdr:from>
      <xdr:col>4</xdr:col>
      <xdr:colOff>1244600</xdr:colOff>
      <xdr:row>7</xdr:row>
      <xdr:rowOff>1943100</xdr:rowOff>
    </xdr:from>
    <xdr:ext cx="3886200" cy="1609023"/>
    <xdr:pic>
      <xdr:nvPicPr>
        <xdr:cNvPr id="4" name="image4.pn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3" cstate="print"/>
        <a:stretch>
          <a:fillRect/>
        </a:stretch>
      </xdr:blipFill>
      <xdr:spPr>
        <a:xfrm>
          <a:off x="8978900" y="4660900"/>
          <a:ext cx="3886200" cy="1609023"/>
        </a:xfrm>
        <a:prstGeom prst="rect">
          <a:avLst/>
        </a:prstGeom>
        <a:noFill/>
      </xdr:spPr>
    </xdr:pic>
    <xdr:clientData fLocksWithSheet="0"/>
  </xdr:oneCellAnchor>
  <xdr:oneCellAnchor>
    <xdr:from>
      <xdr:col>4</xdr:col>
      <xdr:colOff>444500</xdr:colOff>
      <xdr:row>8</xdr:row>
      <xdr:rowOff>1752600</xdr:rowOff>
    </xdr:from>
    <xdr:ext cx="5842000" cy="1593273"/>
    <xdr:pic>
      <xdr:nvPicPr>
        <xdr:cNvPr id="5" name="image3.png">
          <a:extLst>
            <a:ext uri="{FF2B5EF4-FFF2-40B4-BE49-F238E27FC236}">
              <a16:creationId xmlns:a16="http://schemas.microsoft.com/office/drawing/2014/main" id="{00000000-0008-0000-0000-000005000000}"/>
            </a:ext>
          </a:extLst>
        </xdr:cNvPr>
        <xdr:cNvPicPr preferRelativeResize="0"/>
      </xdr:nvPicPr>
      <xdr:blipFill>
        <a:blip xmlns:r="http://schemas.openxmlformats.org/officeDocument/2006/relationships" r:embed="rId4" cstate="print"/>
        <a:stretch>
          <a:fillRect/>
        </a:stretch>
      </xdr:blipFill>
      <xdr:spPr>
        <a:xfrm>
          <a:off x="8178800" y="6527800"/>
          <a:ext cx="5842000" cy="1593273"/>
        </a:xfrm>
        <a:prstGeom prst="rect">
          <a:avLst/>
        </a:prstGeom>
        <a:noFill/>
      </xdr:spPr>
    </xdr:pic>
    <xdr:clientData fLocksWithSheet="0"/>
  </xdr:oneCellAnchor>
  <xdr:oneCellAnchor>
    <xdr:from>
      <xdr:col>2</xdr:col>
      <xdr:colOff>0</xdr:colOff>
      <xdr:row>10</xdr:row>
      <xdr:rowOff>152400</xdr:rowOff>
    </xdr:from>
    <xdr:ext cx="5778500" cy="4333875"/>
    <xdr:pic>
      <xdr:nvPicPr>
        <xdr:cNvPr id="6" name="image5.png">
          <a:extLst>
            <a:ext uri="{FF2B5EF4-FFF2-40B4-BE49-F238E27FC236}">
              <a16:creationId xmlns:a16="http://schemas.microsoft.com/office/drawing/2014/main" id="{00000000-0008-0000-0000-000006000000}"/>
            </a:ext>
          </a:extLst>
        </xdr:cNvPr>
        <xdr:cNvPicPr preferRelativeResize="0"/>
      </xdr:nvPicPr>
      <xdr:blipFill>
        <a:blip xmlns:r="http://schemas.openxmlformats.org/officeDocument/2006/relationships" r:embed="rId5" cstate="print"/>
        <a:stretch>
          <a:fillRect/>
        </a:stretch>
      </xdr:blipFill>
      <xdr:spPr>
        <a:xfrm>
          <a:off x="1384300" y="8813800"/>
          <a:ext cx="5778500" cy="4333875"/>
        </a:xfrm>
        <a:prstGeom prst="rect">
          <a:avLst/>
        </a:prstGeom>
        <a:noFill/>
      </xdr:spPr>
    </xdr:pic>
    <xdr:clientData fLocksWithSheet="0"/>
  </xdr:oneCellAnchor>
  <xdr:oneCellAnchor>
    <xdr:from>
      <xdr:col>4</xdr:col>
      <xdr:colOff>609600</xdr:colOff>
      <xdr:row>10</xdr:row>
      <xdr:rowOff>774700</xdr:rowOff>
    </xdr:from>
    <xdr:ext cx="5378426" cy="3848100"/>
    <xdr:pic>
      <xdr:nvPicPr>
        <xdr:cNvPr id="7" name="image6.png">
          <a:extLst>
            <a:ext uri="{FF2B5EF4-FFF2-40B4-BE49-F238E27FC236}">
              <a16:creationId xmlns:a16="http://schemas.microsoft.com/office/drawing/2014/main" id="{00000000-0008-0000-0000-000007000000}"/>
            </a:ext>
          </a:extLst>
        </xdr:cNvPr>
        <xdr:cNvPicPr preferRelativeResize="0"/>
      </xdr:nvPicPr>
      <xdr:blipFill>
        <a:blip xmlns:r="http://schemas.openxmlformats.org/officeDocument/2006/relationships" r:embed="rId6" cstate="print"/>
        <a:stretch>
          <a:fillRect/>
        </a:stretch>
      </xdr:blipFill>
      <xdr:spPr>
        <a:xfrm>
          <a:off x="8343900" y="9436100"/>
          <a:ext cx="5378426" cy="384810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12700</xdr:colOff>
      <xdr:row>4</xdr:row>
      <xdr:rowOff>254000</xdr:rowOff>
    </xdr:from>
    <xdr:ext cx="1352550" cy="762000"/>
    <xdr:pic>
      <xdr:nvPicPr>
        <xdr:cNvPr id="2" name="image2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xfrm>
          <a:off x="571500" y="1447800"/>
          <a:ext cx="1352550" cy="762000"/>
        </a:xfrm>
        <a:prstGeom prst="rect">
          <a:avLst/>
        </a:prstGeom>
        <a:noFill/>
      </xdr:spPr>
    </xdr:pic>
    <xdr:clientData fLocksWithSheet="0"/>
  </xdr:oneCellAnchor>
  <xdr:oneCellAnchor>
    <xdr:from>
      <xdr:col>1</xdr:col>
      <xdr:colOff>12700</xdr:colOff>
      <xdr:row>5</xdr:row>
      <xdr:rowOff>254000</xdr:rowOff>
    </xdr:from>
    <xdr:ext cx="1352550" cy="771525"/>
    <xdr:pic>
      <xdr:nvPicPr>
        <xdr:cNvPr id="3" name="image16.pn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xfrm>
          <a:off x="571500" y="2628900"/>
          <a:ext cx="1352550" cy="771525"/>
        </a:xfrm>
        <a:prstGeom prst="rect">
          <a:avLst/>
        </a:prstGeom>
        <a:noFill/>
      </xdr:spPr>
    </xdr:pic>
    <xdr:clientData fLocksWithSheet="0"/>
  </xdr:oneCellAnchor>
  <xdr:oneCellAnchor>
    <xdr:from>
      <xdr:col>1</xdr:col>
      <xdr:colOff>12700</xdr:colOff>
      <xdr:row>6</xdr:row>
      <xdr:rowOff>254000</xdr:rowOff>
    </xdr:from>
    <xdr:ext cx="1352550" cy="771525"/>
    <xdr:pic>
      <xdr:nvPicPr>
        <xdr:cNvPr id="4" name="image10.png">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3" cstate="print"/>
        <a:stretch>
          <a:fillRect/>
        </a:stretch>
      </xdr:blipFill>
      <xdr:spPr>
        <a:xfrm>
          <a:off x="571500" y="3810000"/>
          <a:ext cx="1352550" cy="771525"/>
        </a:xfrm>
        <a:prstGeom prst="rect">
          <a:avLst/>
        </a:prstGeom>
        <a:noFill/>
      </xdr:spPr>
    </xdr:pic>
    <xdr:clientData fLocksWithSheet="0"/>
  </xdr:oneCellAnchor>
  <xdr:oneCellAnchor>
    <xdr:from>
      <xdr:col>1</xdr:col>
      <xdr:colOff>12700</xdr:colOff>
      <xdr:row>7</xdr:row>
      <xdr:rowOff>254000</xdr:rowOff>
    </xdr:from>
    <xdr:ext cx="1352550" cy="762000"/>
    <xdr:pic>
      <xdr:nvPicPr>
        <xdr:cNvPr id="5" name="image26.png">
          <a:extLst>
            <a:ext uri="{FF2B5EF4-FFF2-40B4-BE49-F238E27FC236}">
              <a16:creationId xmlns:a16="http://schemas.microsoft.com/office/drawing/2014/main" id="{00000000-0008-0000-0300-000005000000}"/>
            </a:ext>
          </a:extLst>
        </xdr:cNvPr>
        <xdr:cNvPicPr preferRelativeResize="0"/>
      </xdr:nvPicPr>
      <xdr:blipFill>
        <a:blip xmlns:r="http://schemas.openxmlformats.org/officeDocument/2006/relationships" r:embed="rId4" cstate="print"/>
        <a:stretch>
          <a:fillRect/>
        </a:stretch>
      </xdr:blipFill>
      <xdr:spPr>
        <a:xfrm>
          <a:off x="571500" y="4991100"/>
          <a:ext cx="1352550" cy="762000"/>
        </a:xfrm>
        <a:prstGeom prst="rect">
          <a:avLst/>
        </a:prstGeom>
        <a:noFill/>
      </xdr:spPr>
    </xdr:pic>
    <xdr:clientData fLocksWithSheet="0"/>
  </xdr:oneCellAnchor>
  <xdr:oneCellAnchor>
    <xdr:from>
      <xdr:col>1</xdr:col>
      <xdr:colOff>12700</xdr:colOff>
      <xdr:row>8</xdr:row>
      <xdr:rowOff>254000</xdr:rowOff>
    </xdr:from>
    <xdr:ext cx="1352550" cy="771525"/>
    <xdr:pic>
      <xdr:nvPicPr>
        <xdr:cNvPr id="6" name="image14.png">
          <a:extLst>
            <a:ext uri="{FF2B5EF4-FFF2-40B4-BE49-F238E27FC236}">
              <a16:creationId xmlns:a16="http://schemas.microsoft.com/office/drawing/2014/main" id="{00000000-0008-0000-0300-000006000000}"/>
            </a:ext>
          </a:extLst>
        </xdr:cNvPr>
        <xdr:cNvPicPr preferRelativeResize="0"/>
      </xdr:nvPicPr>
      <xdr:blipFill>
        <a:blip xmlns:r="http://schemas.openxmlformats.org/officeDocument/2006/relationships" r:embed="rId5" cstate="print"/>
        <a:stretch>
          <a:fillRect/>
        </a:stretch>
      </xdr:blipFill>
      <xdr:spPr>
        <a:xfrm>
          <a:off x="571500" y="6172200"/>
          <a:ext cx="1352550" cy="771525"/>
        </a:xfrm>
        <a:prstGeom prst="rect">
          <a:avLst/>
        </a:prstGeom>
        <a:noFill/>
      </xdr:spPr>
    </xdr:pic>
    <xdr:clientData fLocksWithSheet="0"/>
  </xdr:oneCellAnchor>
  <xdr:oneCellAnchor>
    <xdr:from>
      <xdr:col>1</xdr:col>
      <xdr:colOff>12700</xdr:colOff>
      <xdr:row>9</xdr:row>
      <xdr:rowOff>254000</xdr:rowOff>
    </xdr:from>
    <xdr:ext cx="1352550" cy="762000"/>
    <xdr:pic>
      <xdr:nvPicPr>
        <xdr:cNvPr id="7" name="image29.png">
          <a:extLst>
            <a:ext uri="{FF2B5EF4-FFF2-40B4-BE49-F238E27FC236}">
              <a16:creationId xmlns:a16="http://schemas.microsoft.com/office/drawing/2014/main" id="{00000000-0008-0000-0300-000007000000}"/>
            </a:ext>
          </a:extLst>
        </xdr:cNvPr>
        <xdr:cNvPicPr preferRelativeResize="0"/>
      </xdr:nvPicPr>
      <xdr:blipFill>
        <a:blip xmlns:r="http://schemas.openxmlformats.org/officeDocument/2006/relationships" r:embed="rId6" cstate="print"/>
        <a:stretch>
          <a:fillRect/>
        </a:stretch>
      </xdr:blipFill>
      <xdr:spPr>
        <a:xfrm>
          <a:off x="571500" y="7353300"/>
          <a:ext cx="1352550" cy="762000"/>
        </a:xfrm>
        <a:prstGeom prst="rect">
          <a:avLst/>
        </a:prstGeom>
        <a:noFill/>
      </xdr:spPr>
    </xdr:pic>
    <xdr:clientData fLocksWithSheet="0"/>
  </xdr:oneCellAnchor>
  <xdr:oneCellAnchor>
    <xdr:from>
      <xdr:col>1</xdr:col>
      <xdr:colOff>12700</xdr:colOff>
      <xdr:row>10</xdr:row>
      <xdr:rowOff>254000</xdr:rowOff>
    </xdr:from>
    <xdr:ext cx="1352550" cy="762000"/>
    <xdr:pic>
      <xdr:nvPicPr>
        <xdr:cNvPr id="8" name="image13.png">
          <a:extLst>
            <a:ext uri="{FF2B5EF4-FFF2-40B4-BE49-F238E27FC236}">
              <a16:creationId xmlns:a16="http://schemas.microsoft.com/office/drawing/2014/main" id="{00000000-0008-0000-0300-000008000000}"/>
            </a:ext>
          </a:extLst>
        </xdr:cNvPr>
        <xdr:cNvPicPr preferRelativeResize="0"/>
      </xdr:nvPicPr>
      <xdr:blipFill>
        <a:blip xmlns:r="http://schemas.openxmlformats.org/officeDocument/2006/relationships" r:embed="rId7" cstate="print"/>
        <a:stretch>
          <a:fillRect/>
        </a:stretch>
      </xdr:blipFill>
      <xdr:spPr>
        <a:xfrm>
          <a:off x="571500" y="8534400"/>
          <a:ext cx="1352550" cy="762000"/>
        </a:xfrm>
        <a:prstGeom prst="rect">
          <a:avLst/>
        </a:prstGeom>
        <a:noFill/>
      </xdr:spPr>
    </xdr:pic>
    <xdr:clientData fLocksWithSheet="0"/>
  </xdr:oneCellAnchor>
  <xdr:oneCellAnchor>
    <xdr:from>
      <xdr:col>1</xdr:col>
      <xdr:colOff>12700</xdr:colOff>
      <xdr:row>11</xdr:row>
      <xdr:rowOff>254000</xdr:rowOff>
    </xdr:from>
    <xdr:ext cx="1352550" cy="771525"/>
    <xdr:pic>
      <xdr:nvPicPr>
        <xdr:cNvPr id="9" name="image11.png">
          <a:extLst>
            <a:ext uri="{FF2B5EF4-FFF2-40B4-BE49-F238E27FC236}">
              <a16:creationId xmlns:a16="http://schemas.microsoft.com/office/drawing/2014/main" id="{00000000-0008-0000-0300-000009000000}"/>
            </a:ext>
          </a:extLst>
        </xdr:cNvPr>
        <xdr:cNvPicPr preferRelativeResize="0"/>
      </xdr:nvPicPr>
      <xdr:blipFill>
        <a:blip xmlns:r="http://schemas.openxmlformats.org/officeDocument/2006/relationships" r:embed="rId8" cstate="print"/>
        <a:stretch>
          <a:fillRect/>
        </a:stretch>
      </xdr:blipFill>
      <xdr:spPr>
        <a:xfrm>
          <a:off x="571500" y="9715500"/>
          <a:ext cx="1352550" cy="771525"/>
        </a:xfrm>
        <a:prstGeom prst="rect">
          <a:avLst/>
        </a:prstGeom>
        <a:noFill/>
      </xdr:spPr>
    </xdr:pic>
    <xdr:clientData fLocksWithSheet="0"/>
  </xdr:oneCellAnchor>
  <xdr:oneCellAnchor>
    <xdr:from>
      <xdr:col>1</xdr:col>
      <xdr:colOff>12700</xdr:colOff>
      <xdr:row>12</xdr:row>
      <xdr:rowOff>254000</xdr:rowOff>
    </xdr:from>
    <xdr:ext cx="1352550" cy="771525"/>
    <xdr:pic>
      <xdr:nvPicPr>
        <xdr:cNvPr id="10" name="image32.png">
          <a:extLst>
            <a:ext uri="{FF2B5EF4-FFF2-40B4-BE49-F238E27FC236}">
              <a16:creationId xmlns:a16="http://schemas.microsoft.com/office/drawing/2014/main" id="{00000000-0008-0000-0300-00000A000000}"/>
            </a:ext>
          </a:extLst>
        </xdr:cNvPr>
        <xdr:cNvPicPr preferRelativeResize="0"/>
      </xdr:nvPicPr>
      <xdr:blipFill>
        <a:blip xmlns:r="http://schemas.openxmlformats.org/officeDocument/2006/relationships" r:embed="rId9" cstate="print"/>
        <a:stretch>
          <a:fillRect/>
        </a:stretch>
      </xdr:blipFill>
      <xdr:spPr>
        <a:xfrm>
          <a:off x="571500" y="10896600"/>
          <a:ext cx="1352550" cy="771525"/>
        </a:xfrm>
        <a:prstGeom prst="rect">
          <a:avLst/>
        </a:prstGeom>
        <a:noFill/>
      </xdr:spPr>
    </xdr:pic>
    <xdr:clientData fLocksWithSheet="0"/>
  </xdr:oneCellAnchor>
  <xdr:oneCellAnchor>
    <xdr:from>
      <xdr:col>1</xdr:col>
      <xdr:colOff>12700</xdr:colOff>
      <xdr:row>13</xdr:row>
      <xdr:rowOff>254000</xdr:rowOff>
    </xdr:from>
    <xdr:ext cx="1352550" cy="781050"/>
    <xdr:pic>
      <xdr:nvPicPr>
        <xdr:cNvPr id="11" name="image19.png">
          <a:extLst>
            <a:ext uri="{FF2B5EF4-FFF2-40B4-BE49-F238E27FC236}">
              <a16:creationId xmlns:a16="http://schemas.microsoft.com/office/drawing/2014/main" id="{00000000-0008-0000-0300-00000B000000}"/>
            </a:ext>
          </a:extLst>
        </xdr:cNvPr>
        <xdr:cNvPicPr preferRelativeResize="0"/>
      </xdr:nvPicPr>
      <xdr:blipFill>
        <a:blip xmlns:r="http://schemas.openxmlformats.org/officeDocument/2006/relationships" r:embed="rId10" cstate="print"/>
        <a:stretch>
          <a:fillRect/>
        </a:stretch>
      </xdr:blipFill>
      <xdr:spPr>
        <a:xfrm>
          <a:off x="571500" y="12077700"/>
          <a:ext cx="1352550" cy="781050"/>
        </a:xfrm>
        <a:prstGeom prst="rect">
          <a:avLst/>
        </a:prstGeom>
        <a:noFill/>
      </xdr:spPr>
    </xdr:pic>
    <xdr:clientData fLocksWithSheet="0"/>
  </xdr:oneCellAnchor>
  <xdr:oneCellAnchor>
    <xdr:from>
      <xdr:col>1</xdr:col>
      <xdr:colOff>12700</xdr:colOff>
      <xdr:row>14</xdr:row>
      <xdr:rowOff>254000</xdr:rowOff>
    </xdr:from>
    <xdr:ext cx="1352550" cy="781050"/>
    <xdr:pic>
      <xdr:nvPicPr>
        <xdr:cNvPr id="12" name="image24.png">
          <a:extLst>
            <a:ext uri="{FF2B5EF4-FFF2-40B4-BE49-F238E27FC236}">
              <a16:creationId xmlns:a16="http://schemas.microsoft.com/office/drawing/2014/main" id="{00000000-0008-0000-0300-00000C000000}"/>
            </a:ext>
          </a:extLst>
        </xdr:cNvPr>
        <xdr:cNvPicPr preferRelativeResize="0"/>
      </xdr:nvPicPr>
      <xdr:blipFill>
        <a:blip xmlns:r="http://schemas.openxmlformats.org/officeDocument/2006/relationships" r:embed="rId11" cstate="print"/>
        <a:stretch>
          <a:fillRect/>
        </a:stretch>
      </xdr:blipFill>
      <xdr:spPr>
        <a:xfrm>
          <a:off x="571500" y="13258800"/>
          <a:ext cx="1352550" cy="781050"/>
        </a:xfrm>
        <a:prstGeom prst="rect">
          <a:avLst/>
        </a:prstGeom>
        <a:noFill/>
      </xdr:spPr>
    </xdr:pic>
    <xdr:clientData fLocksWithSheet="0"/>
  </xdr:oneCellAnchor>
  <xdr:oneCellAnchor>
    <xdr:from>
      <xdr:col>1</xdr:col>
      <xdr:colOff>12700</xdr:colOff>
      <xdr:row>15</xdr:row>
      <xdr:rowOff>254000</xdr:rowOff>
    </xdr:from>
    <xdr:ext cx="1352550" cy="771525"/>
    <xdr:pic>
      <xdr:nvPicPr>
        <xdr:cNvPr id="13" name="image17.png">
          <a:extLst>
            <a:ext uri="{FF2B5EF4-FFF2-40B4-BE49-F238E27FC236}">
              <a16:creationId xmlns:a16="http://schemas.microsoft.com/office/drawing/2014/main" id="{00000000-0008-0000-0300-00000D000000}"/>
            </a:ext>
          </a:extLst>
        </xdr:cNvPr>
        <xdr:cNvPicPr preferRelativeResize="0"/>
      </xdr:nvPicPr>
      <xdr:blipFill>
        <a:blip xmlns:r="http://schemas.openxmlformats.org/officeDocument/2006/relationships" r:embed="rId12" cstate="print"/>
        <a:stretch>
          <a:fillRect/>
        </a:stretch>
      </xdr:blipFill>
      <xdr:spPr>
        <a:xfrm>
          <a:off x="571500" y="14439900"/>
          <a:ext cx="1352550" cy="771525"/>
        </a:xfrm>
        <a:prstGeom prst="rect">
          <a:avLst/>
        </a:prstGeom>
        <a:noFill/>
      </xdr:spPr>
    </xdr:pic>
    <xdr:clientData fLocksWithSheet="0"/>
  </xdr:oneCellAnchor>
  <xdr:oneCellAnchor>
    <xdr:from>
      <xdr:col>1</xdr:col>
      <xdr:colOff>12700</xdr:colOff>
      <xdr:row>16</xdr:row>
      <xdr:rowOff>254000</xdr:rowOff>
    </xdr:from>
    <xdr:ext cx="1352550" cy="752475"/>
    <xdr:pic>
      <xdr:nvPicPr>
        <xdr:cNvPr id="14" name="image18.png">
          <a:extLst>
            <a:ext uri="{FF2B5EF4-FFF2-40B4-BE49-F238E27FC236}">
              <a16:creationId xmlns:a16="http://schemas.microsoft.com/office/drawing/2014/main" id="{00000000-0008-0000-0300-00000E000000}"/>
            </a:ext>
          </a:extLst>
        </xdr:cNvPr>
        <xdr:cNvPicPr preferRelativeResize="0"/>
      </xdr:nvPicPr>
      <xdr:blipFill>
        <a:blip xmlns:r="http://schemas.openxmlformats.org/officeDocument/2006/relationships" r:embed="rId13" cstate="print"/>
        <a:stretch>
          <a:fillRect/>
        </a:stretch>
      </xdr:blipFill>
      <xdr:spPr>
        <a:xfrm>
          <a:off x="571500" y="15621000"/>
          <a:ext cx="1352550" cy="752475"/>
        </a:xfrm>
        <a:prstGeom prst="rect">
          <a:avLst/>
        </a:prstGeom>
        <a:noFill/>
      </xdr:spPr>
    </xdr:pic>
    <xdr:clientData fLocksWithSheet="0"/>
  </xdr:oneCellAnchor>
  <xdr:oneCellAnchor>
    <xdr:from>
      <xdr:col>1</xdr:col>
      <xdr:colOff>12700</xdr:colOff>
      <xdr:row>17</xdr:row>
      <xdr:rowOff>254000</xdr:rowOff>
    </xdr:from>
    <xdr:ext cx="1352550" cy="771525"/>
    <xdr:pic>
      <xdr:nvPicPr>
        <xdr:cNvPr id="15" name="image23.png">
          <a:extLst>
            <a:ext uri="{FF2B5EF4-FFF2-40B4-BE49-F238E27FC236}">
              <a16:creationId xmlns:a16="http://schemas.microsoft.com/office/drawing/2014/main" id="{00000000-0008-0000-0300-00000F000000}"/>
            </a:ext>
          </a:extLst>
        </xdr:cNvPr>
        <xdr:cNvPicPr preferRelativeResize="0"/>
      </xdr:nvPicPr>
      <xdr:blipFill>
        <a:blip xmlns:r="http://schemas.openxmlformats.org/officeDocument/2006/relationships" r:embed="rId14" cstate="print"/>
        <a:stretch>
          <a:fillRect/>
        </a:stretch>
      </xdr:blipFill>
      <xdr:spPr>
        <a:xfrm>
          <a:off x="571500" y="16802100"/>
          <a:ext cx="1352550" cy="771525"/>
        </a:xfrm>
        <a:prstGeom prst="rect">
          <a:avLst/>
        </a:prstGeom>
        <a:noFill/>
      </xdr:spPr>
    </xdr:pic>
    <xdr:clientData fLocksWithSheet="0"/>
  </xdr:oneCellAnchor>
  <xdr:oneCellAnchor>
    <xdr:from>
      <xdr:col>1</xdr:col>
      <xdr:colOff>12700</xdr:colOff>
      <xdr:row>18</xdr:row>
      <xdr:rowOff>254000</xdr:rowOff>
    </xdr:from>
    <xdr:ext cx="1352550" cy="781050"/>
    <xdr:pic>
      <xdr:nvPicPr>
        <xdr:cNvPr id="16" name="image9.png">
          <a:extLst>
            <a:ext uri="{FF2B5EF4-FFF2-40B4-BE49-F238E27FC236}">
              <a16:creationId xmlns:a16="http://schemas.microsoft.com/office/drawing/2014/main" id="{00000000-0008-0000-0300-000010000000}"/>
            </a:ext>
          </a:extLst>
        </xdr:cNvPr>
        <xdr:cNvPicPr preferRelativeResize="0"/>
      </xdr:nvPicPr>
      <xdr:blipFill>
        <a:blip xmlns:r="http://schemas.openxmlformats.org/officeDocument/2006/relationships" r:embed="rId15" cstate="print"/>
        <a:stretch>
          <a:fillRect/>
        </a:stretch>
      </xdr:blipFill>
      <xdr:spPr>
        <a:xfrm>
          <a:off x="571500" y="17983200"/>
          <a:ext cx="1352550" cy="781050"/>
        </a:xfrm>
        <a:prstGeom prst="rect">
          <a:avLst/>
        </a:prstGeom>
        <a:noFill/>
      </xdr:spPr>
    </xdr:pic>
    <xdr:clientData fLocksWithSheet="0"/>
  </xdr:oneCellAnchor>
  <xdr:oneCellAnchor>
    <xdr:from>
      <xdr:col>1</xdr:col>
      <xdr:colOff>12700</xdr:colOff>
      <xdr:row>19</xdr:row>
      <xdr:rowOff>254000</xdr:rowOff>
    </xdr:from>
    <xdr:ext cx="1352550" cy="762000"/>
    <xdr:pic>
      <xdr:nvPicPr>
        <xdr:cNvPr id="17" name="image15.png">
          <a:extLst>
            <a:ext uri="{FF2B5EF4-FFF2-40B4-BE49-F238E27FC236}">
              <a16:creationId xmlns:a16="http://schemas.microsoft.com/office/drawing/2014/main" id="{00000000-0008-0000-0300-000011000000}"/>
            </a:ext>
          </a:extLst>
        </xdr:cNvPr>
        <xdr:cNvPicPr preferRelativeResize="0"/>
      </xdr:nvPicPr>
      <xdr:blipFill>
        <a:blip xmlns:r="http://schemas.openxmlformats.org/officeDocument/2006/relationships" r:embed="rId16" cstate="print"/>
        <a:stretch>
          <a:fillRect/>
        </a:stretch>
      </xdr:blipFill>
      <xdr:spPr>
        <a:xfrm>
          <a:off x="571500" y="19164300"/>
          <a:ext cx="1352550" cy="762000"/>
        </a:xfrm>
        <a:prstGeom prst="rect">
          <a:avLst/>
        </a:prstGeom>
        <a:noFill/>
      </xdr:spPr>
    </xdr:pic>
    <xdr:clientData fLocksWithSheet="0"/>
  </xdr:oneCellAnchor>
  <xdr:oneCellAnchor>
    <xdr:from>
      <xdr:col>1</xdr:col>
      <xdr:colOff>12700</xdr:colOff>
      <xdr:row>20</xdr:row>
      <xdr:rowOff>254000</xdr:rowOff>
    </xdr:from>
    <xdr:ext cx="1352550" cy="752475"/>
    <xdr:pic>
      <xdr:nvPicPr>
        <xdr:cNvPr id="18" name="image12.png">
          <a:extLst>
            <a:ext uri="{FF2B5EF4-FFF2-40B4-BE49-F238E27FC236}">
              <a16:creationId xmlns:a16="http://schemas.microsoft.com/office/drawing/2014/main" id="{00000000-0008-0000-0300-000012000000}"/>
            </a:ext>
          </a:extLst>
        </xdr:cNvPr>
        <xdr:cNvPicPr preferRelativeResize="0"/>
      </xdr:nvPicPr>
      <xdr:blipFill>
        <a:blip xmlns:r="http://schemas.openxmlformats.org/officeDocument/2006/relationships" r:embed="rId17" cstate="print"/>
        <a:stretch>
          <a:fillRect/>
        </a:stretch>
      </xdr:blipFill>
      <xdr:spPr>
        <a:xfrm>
          <a:off x="571500" y="20345400"/>
          <a:ext cx="1352550" cy="752475"/>
        </a:xfrm>
        <a:prstGeom prst="rect">
          <a:avLst/>
        </a:prstGeom>
        <a:noFill/>
      </xdr:spPr>
    </xdr:pic>
    <xdr:clientData fLocksWithSheet="0"/>
  </xdr:oneCellAnchor>
  <xdr:oneCellAnchor>
    <xdr:from>
      <xdr:col>1</xdr:col>
      <xdr:colOff>12700</xdr:colOff>
      <xdr:row>21</xdr:row>
      <xdr:rowOff>254000</xdr:rowOff>
    </xdr:from>
    <xdr:ext cx="1352550" cy="781050"/>
    <xdr:pic>
      <xdr:nvPicPr>
        <xdr:cNvPr id="19" name="image8.png">
          <a:extLst>
            <a:ext uri="{FF2B5EF4-FFF2-40B4-BE49-F238E27FC236}">
              <a16:creationId xmlns:a16="http://schemas.microsoft.com/office/drawing/2014/main" id="{00000000-0008-0000-0300-000013000000}"/>
            </a:ext>
          </a:extLst>
        </xdr:cNvPr>
        <xdr:cNvPicPr preferRelativeResize="0"/>
      </xdr:nvPicPr>
      <xdr:blipFill>
        <a:blip xmlns:r="http://schemas.openxmlformats.org/officeDocument/2006/relationships" r:embed="rId18" cstate="print"/>
        <a:stretch>
          <a:fillRect/>
        </a:stretch>
      </xdr:blipFill>
      <xdr:spPr>
        <a:xfrm>
          <a:off x="571500" y="21526500"/>
          <a:ext cx="1352550" cy="781050"/>
        </a:xfrm>
        <a:prstGeom prst="rect">
          <a:avLst/>
        </a:prstGeom>
        <a:noFill/>
      </xdr:spPr>
    </xdr:pic>
    <xdr:clientData fLocksWithSheet="0"/>
  </xdr:oneCellAnchor>
  <xdr:oneCellAnchor>
    <xdr:from>
      <xdr:col>1</xdr:col>
      <xdr:colOff>12700</xdr:colOff>
      <xdr:row>22</xdr:row>
      <xdr:rowOff>254000</xdr:rowOff>
    </xdr:from>
    <xdr:ext cx="1352550" cy="762000"/>
    <xdr:pic>
      <xdr:nvPicPr>
        <xdr:cNvPr id="20" name="image27.png">
          <a:extLst>
            <a:ext uri="{FF2B5EF4-FFF2-40B4-BE49-F238E27FC236}">
              <a16:creationId xmlns:a16="http://schemas.microsoft.com/office/drawing/2014/main" id="{00000000-0008-0000-0300-000014000000}"/>
            </a:ext>
          </a:extLst>
        </xdr:cNvPr>
        <xdr:cNvPicPr preferRelativeResize="0"/>
      </xdr:nvPicPr>
      <xdr:blipFill>
        <a:blip xmlns:r="http://schemas.openxmlformats.org/officeDocument/2006/relationships" r:embed="rId19" cstate="print"/>
        <a:stretch>
          <a:fillRect/>
        </a:stretch>
      </xdr:blipFill>
      <xdr:spPr>
        <a:xfrm>
          <a:off x="571500" y="22707600"/>
          <a:ext cx="1352550" cy="762000"/>
        </a:xfrm>
        <a:prstGeom prst="rect">
          <a:avLst/>
        </a:prstGeom>
        <a:noFill/>
      </xdr:spPr>
    </xdr:pic>
    <xdr:clientData fLocksWithSheet="0"/>
  </xdr:oneCellAnchor>
  <xdr:oneCellAnchor>
    <xdr:from>
      <xdr:col>1</xdr:col>
      <xdr:colOff>12700</xdr:colOff>
      <xdr:row>23</xdr:row>
      <xdr:rowOff>254000</xdr:rowOff>
    </xdr:from>
    <xdr:ext cx="1352550" cy="771525"/>
    <xdr:pic>
      <xdr:nvPicPr>
        <xdr:cNvPr id="21" name="image28.png">
          <a:extLst>
            <a:ext uri="{FF2B5EF4-FFF2-40B4-BE49-F238E27FC236}">
              <a16:creationId xmlns:a16="http://schemas.microsoft.com/office/drawing/2014/main" id="{00000000-0008-0000-0300-000015000000}"/>
            </a:ext>
          </a:extLst>
        </xdr:cNvPr>
        <xdr:cNvPicPr preferRelativeResize="0"/>
      </xdr:nvPicPr>
      <xdr:blipFill>
        <a:blip xmlns:r="http://schemas.openxmlformats.org/officeDocument/2006/relationships" r:embed="rId20" cstate="print"/>
        <a:stretch>
          <a:fillRect/>
        </a:stretch>
      </xdr:blipFill>
      <xdr:spPr>
        <a:xfrm>
          <a:off x="571500" y="23888700"/>
          <a:ext cx="1352550" cy="771525"/>
        </a:xfrm>
        <a:prstGeom prst="rect">
          <a:avLst/>
        </a:prstGeom>
        <a:noFill/>
      </xdr:spPr>
    </xdr:pic>
    <xdr:clientData fLocksWithSheet="0"/>
  </xdr:oneCellAnchor>
  <xdr:oneCellAnchor>
    <xdr:from>
      <xdr:col>1</xdr:col>
      <xdr:colOff>12700</xdr:colOff>
      <xdr:row>24</xdr:row>
      <xdr:rowOff>254000</xdr:rowOff>
    </xdr:from>
    <xdr:ext cx="1352550" cy="771525"/>
    <xdr:pic>
      <xdr:nvPicPr>
        <xdr:cNvPr id="22" name="image20.png">
          <a:extLst>
            <a:ext uri="{FF2B5EF4-FFF2-40B4-BE49-F238E27FC236}">
              <a16:creationId xmlns:a16="http://schemas.microsoft.com/office/drawing/2014/main" id="{00000000-0008-0000-0300-000016000000}"/>
            </a:ext>
          </a:extLst>
        </xdr:cNvPr>
        <xdr:cNvPicPr preferRelativeResize="0"/>
      </xdr:nvPicPr>
      <xdr:blipFill>
        <a:blip xmlns:r="http://schemas.openxmlformats.org/officeDocument/2006/relationships" r:embed="rId21" cstate="print"/>
        <a:stretch>
          <a:fillRect/>
        </a:stretch>
      </xdr:blipFill>
      <xdr:spPr>
        <a:xfrm>
          <a:off x="571500" y="25069800"/>
          <a:ext cx="1352550" cy="771525"/>
        </a:xfrm>
        <a:prstGeom prst="rect">
          <a:avLst/>
        </a:prstGeom>
        <a:noFill/>
      </xdr:spPr>
    </xdr:pic>
    <xdr:clientData fLocksWithSheet="0"/>
  </xdr:oneCellAnchor>
  <xdr:oneCellAnchor>
    <xdr:from>
      <xdr:col>1</xdr:col>
      <xdr:colOff>12700</xdr:colOff>
      <xdr:row>25</xdr:row>
      <xdr:rowOff>254000</xdr:rowOff>
    </xdr:from>
    <xdr:ext cx="1352550" cy="771525"/>
    <xdr:pic>
      <xdr:nvPicPr>
        <xdr:cNvPr id="23" name="image7.png">
          <a:extLst>
            <a:ext uri="{FF2B5EF4-FFF2-40B4-BE49-F238E27FC236}">
              <a16:creationId xmlns:a16="http://schemas.microsoft.com/office/drawing/2014/main" id="{00000000-0008-0000-0300-000017000000}"/>
            </a:ext>
          </a:extLst>
        </xdr:cNvPr>
        <xdr:cNvPicPr preferRelativeResize="0"/>
      </xdr:nvPicPr>
      <xdr:blipFill>
        <a:blip xmlns:r="http://schemas.openxmlformats.org/officeDocument/2006/relationships" r:embed="rId22" cstate="print"/>
        <a:stretch>
          <a:fillRect/>
        </a:stretch>
      </xdr:blipFill>
      <xdr:spPr>
        <a:xfrm>
          <a:off x="571500" y="26250900"/>
          <a:ext cx="1352550" cy="771525"/>
        </a:xfrm>
        <a:prstGeom prst="rect">
          <a:avLst/>
        </a:prstGeom>
        <a:noFill/>
      </xdr:spPr>
    </xdr:pic>
    <xdr:clientData fLocksWithSheet="0"/>
  </xdr:oneCellAnchor>
  <xdr:oneCellAnchor>
    <xdr:from>
      <xdr:col>1</xdr:col>
      <xdr:colOff>12700</xdr:colOff>
      <xdr:row>26</xdr:row>
      <xdr:rowOff>254000</xdr:rowOff>
    </xdr:from>
    <xdr:ext cx="1352550" cy="762000"/>
    <xdr:pic>
      <xdr:nvPicPr>
        <xdr:cNvPr id="24" name="image25.png">
          <a:extLst>
            <a:ext uri="{FF2B5EF4-FFF2-40B4-BE49-F238E27FC236}">
              <a16:creationId xmlns:a16="http://schemas.microsoft.com/office/drawing/2014/main" id="{00000000-0008-0000-0300-000018000000}"/>
            </a:ext>
          </a:extLst>
        </xdr:cNvPr>
        <xdr:cNvPicPr preferRelativeResize="0"/>
      </xdr:nvPicPr>
      <xdr:blipFill>
        <a:blip xmlns:r="http://schemas.openxmlformats.org/officeDocument/2006/relationships" r:embed="rId23" cstate="print"/>
        <a:stretch>
          <a:fillRect/>
        </a:stretch>
      </xdr:blipFill>
      <xdr:spPr>
        <a:xfrm>
          <a:off x="571500" y="27432000"/>
          <a:ext cx="1352550" cy="762000"/>
        </a:xfrm>
        <a:prstGeom prst="rect">
          <a:avLst/>
        </a:prstGeom>
        <a:noFill/>
      </xdr:spPr>
    </xdr:pic>
    <xdr:clientData fLocksWithSheet="0"/>
  </xdr:oneCellAnchor>
  <xdr:oneCellAnchor>
    <xdr:from>
      <xdr:col>1</xdr:col>
      <xdr:colOff>12700</xdr:colOff>
      <xdr:row>27</xdr:row>
      <xdr:rowOff>215900</xdr:rowOff>
    </xdr:from>
    <xdr:ext cx="1352550" cy="771525"/>
    <xdr:pic>
      <xdr:nvPicPr>
        <xdr:cNvPr id="25" name="image22.png">
          <a:extLst>
            <a:ext uri="{FF2B5EF4-FFF2-40B4-BE49-F238E27FC236}">
              <a16:creationId xmlns:a16="http://schemas.microsoft.com/office/drawing/2014/main" id="{00000000-0008-0000-0300-000019000000}"/>
            </a:ext>
          </a:extLst>
        </xdr:cNvPr>
        <xdr:cNvPicPr preferRelativeResize="0"/>
      </xdr:nvPicPr>
      <xdr:blipFill>
        <a:blip xmlns:r="http://schemas.openxmlformats.org/officeDocument/2006/relationships" r:embed="rId24" cstate="print"/>
        <a:stretch>
          <a:fillRect/>
        </a:stretch>
      </xdr:blipFill>
      <xdr:spPr>
        <a:xfrm>
          <a:off x="571500" y="28575000"/>
          <a:ext cx="1352550" cy="771525"/>
        </a:xfrm>
        <a:prstGeom prst="rect">
          <a:avLst/>
        </a:prstGeom>
        <a:noFill/>
      </xdr:spPr>
    </xdr:pic>
    <xdr:clientData fLocksWithSheet="0"/>
  </xdr:oneCellAnchor>
  <xdr:oneCellAnchor>
    <xdr:from>
      <xdr:col>1</xdr:col>
      <xdr:colOff>12700</xdr:colOff>
      <xdr:row>28</xdr:row>
      <xdr:rowOff>215900</xdr:rowOff>
    </xdr:from>
    <xdr:ext cx="1352550" cy="771525"/>
    <xdr:pic>
      <xdr:nvPicPr>
        <xdr:cNvPr id="26" name="image30.png">
          <a:extLst>
            <a:ext uri="{FF2B5EF4-FFF2-40B4-BE49-F238E27FC236}">
              <a16:creationId xmlns:a16="http://schemas.microsoft.com/office/drawing/2014/main" id="{00000000-0008-0000-0300-00001A000000}"/>
            </a:ext>
          </a:extLst>
        </xdr:cNvPr>
        <xdr:cNvPicPr preferRelativeResize="0"/>
      </xdr:nvPicPr>
      <xdr:blipFill>
        <a:blip xmlns:r="http://schemas.openxmlformats.org/officeDocument/2006/relationships" r:embed="rId25" cstate="print"/>
        <a:stretch>
          <a:fillRect/>
        </a:stretch>
      </xdr:blipFill>
      <xdr:spPr>
        <a:xfrm>
          <a:off x="571500" y="29756100"/>
          <a:ext cx="1352550" cy="771525"/>
        </a:xfrm>
        <a:prstGeom prst="rect">
          <a:avLst/>
        </a:prstGeom>
        <a:noFill/>
      </xdr:spPr>
    </xdr:pic>
    <xdr:clientData fLocksWithSheet="0"/>
  </xdr:oneCellAnchor>
  <xdr:oneCellAnchor>
    <xdr:from>
      <xdr:col>1</xdr:col>
      <xdr:colOff>12700</xdr:colOff>
      <xdr:row>29</xdr:row>
      <xdr:rowOff>215900</xdr:rowOff>
    </xdr:from>
    <xdr:ext cx="1352550" cy="781050"/>
    <xdr:pic>
      <xdr:nvPicPr>
        <xdr:cNvPr id="27" name="image31.png">
          <a:extLst>
            <a:ext uri="{FF2B5EF4-FFF2-40B4-BE49-F238E27FC236}">
              <a16:creationId xmlns:a16="http://schemas.microsoft.com/office/drawing/2014/main" id="{00000000-0008-0000-0300-00001B000000}"/>
            </a:ext>
          </a:extLst>
        </xdr:cNvPr>
        <xdr:cNvPicPr preferRelativeResize="0"/>
      </xdr:nvPicPr>
      <xdr:blipFill>
        <a:blip xmlns:r="http://schemas.openxmlformats.org/officeDocument/2006/relationships" r:embed="rId26" cstate="print"/>
        <a:stretch>
          <a:fillRect/>
        </a:stretch>
      </xdr:blipFill>
      <xdr:spPr>
        <a:xfrm>
          <a:off x="571500" y="30937200"/>
          <a:ext cx="1352550" cy="781050"/>
        </a:xfrm>
        <a:prstGeom prst="rect">
          <a:avLst/>
        </a:prstGeom>
        <a:noFill/>
      </xdr:spPr>
    </xdr:pic>
    <xdr:clientData fLocksWithSheet="0"/>
  </xdr:oneCellAnchor>
  <xdr:oneCellAnchor>
    <xdr:from>
      <xdr:col>1</xdr:col>
      <xdr:colOff>12700</xdr:colOff>
      <xdr:row>30</xdr:row>
      <xdr:rowOff>215900</xdr:rowOff>
    </xdr:from>
    <xdr:ext cx="1352550" cy="781050"/>
    <xdr:pic>
      <xdr:nvPicPr>
        <xdr:cNvPr id="28" name="image33.png">
          <a:extLst>
            <a:ext uri="{FF2B5EF4-FFF2-40B4-BE49-F238E27FC236}">
              <a16:creationId xmlns:a16="http://schemas.microsoft.com/office/drawing/2014/main" id="{00000000-0008-0000-0300-00001C000000}"/>
            </a:ext>
          </a:extLst>
        </xdr:cNvPr>
        <xdr:cNvPicPr preferRelativeResize="0"/>
      </xdr:nvPicPr>
      <xdr:blipFill>
        <a:blip xmlns:r="http://schemas.openxmlformats.org/officeDocument/2006/relationships" r:embed="rId27" cstate="print"/>
        <a:stretch>
          <a:fillRect/>
        </a:stretch>
      </xdr:blipFill>
      <xdr:spPr>
        <a:xfrm>
          <a:off x="571500" y="32118300"/>
          <a:ext cx="1352550" cy="781050"/>
        </a:xfrm>
        <a:prstGeom prst="rect">
          <a:avLst/>
        </a:prstGeom>
        <a:noFill/>
      </xdr:spPr>
    </xdr:pic>
    <xdr:clientData fLocksWithSheet="0"/>
  </xdr:oneCellAnchor>
  <xdr:oneCellAnchor>
    <xdr:from>
      <xdr:col>1</xdr:col>
      <xdr:colOff>12700</xdr:colOff>
      <xdr:row>31</xdr:row>
      <xdr:rowOff>215900</xdr:rowOff>
    </xdr:from>
    <xdr:ext cx="1352550" cy="762000"/>
    <xdr:pic>
      <xdr:nvPicPr>
        <xdr:cNvPr id="29" name="image34.png">
          <a:extLst>
            <a:ext uri="{FF2B5EF4-FFF2-40B4-BE49-F238E27FC236}">
              <a16:creationId xmlns:a16="http://schemas.microsoft.com/office/drawing/2014/main" id="{00000000-0008-0000-0300-00001D000000}"/>
            </a:ext>
          </a:extLst>
        </xdr:cNvPr>
        <xdr:cNvPicPr preferRelativeResize="0"/>
      </xdr:nvPicPr>
      <xdr:blipFill>
        <a:blip xmlns:r="http://schemas.openxmlformats.org/officeDocument/2006/relationships" r:embed="rId28" cstate="print"/>
        <a:stretch>
          <a:fillRect/>
        </a:stretch>
      </xdr:blipFill>
      <xdr:spPr>
        <a:xfrm>
          <a:off x="571500" y="33299400"/>
          <a:ext cx="1352550" cy="762000"/>
        </a:xfrm>
        <a:prstGeom prst="rect">
          <a:avLst/>
        </a:prstGeom>
        <a:noFill/>
      </xdr:spPr>
    </xdr:pic>
    <xdr:clientData fLocksWithSheet="0"/>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17" Type="http://schemas.openxmlformats.org/officeDocument/2006/relationships/hyperlink" Target="https://www.linkedin.com/learning/the-employee-s-guide-to-sustainability" TargetMode="External"/><Relationship Id="rId21" Type="http://schemas.openxmlformats.org/officeDocument/2006/relationships/hyperlink" Target="https://www.linkedin.com/learning/strategic-mentoring" TargetMode="External"/><Relationship Id="rId42" Type="http://schemas.openxmlformats.org/officeDocument/2006/relationships/hyperlink" Target="https://www.linkedin.com/learning/developing-a-learning-mindset" TargetMode="External"/><Relationship Id="rId63" Type="http://schemas.openxmlformats.org/officeDocument/2006/relationships/hyperlink" Target="https://www.linkedin.com/learning/organization-communication" TargetMode="External"/><Relationship Id="rId84" Type="http://schemas.openxmlformats.org/officeDocument/2006/relationships/hyperlink" Target="https://www.linkedin.com/learning/guy-kawasaki-on-turning-life-wisdom-into-business-success" TargetMode="External"/><Relationship Id="rId138" Type="http://schemas.openxmlformats.org/officeDocument/2006/relationships/hyperlink" Target="https://www.linkedin.com/learning/transformational-leadership/being-powerful-in-transformation" TargetMode="External"/><Relationship Id="rId159" Type="http://schemas.openxmlformats.org/officeDocument/2006/relationships/hyperlink" Target="https://www.linkedin.com/learning/taking-your-leadership-to-a-higher-level" TargetMode="External"/><Relationship Id="rId170" Type="http://schemas.openxmlformats.org/officeDocument/2006/relationships/hyperlink" Target="https://www.linkedin.com/learning/organizational-learning-and-development" TargetMode="External"/><Relationship Id="rId191" Type="http://schemas.openxmlformats.org/officeDocument/2006/relationships/hyperlink" Target="https://www.linkedin.com/learning/leading-in-uncertain-times" TargetMode="External"/><Relationship Id="rId205" Type="http://schemas.openxmlformats.org/officeDocument/2006/relationships/hyperlink" Target="https://www.linkedin.com/learning/the-superbosses-playbook" TargetMode="External"/><Relationship Id="rId226" Type="http://schemas.openxmlformats.org/officeDocument/2006/relationships/hyperlink" Target="https://www.linkedin.com/learning/risk-taking-for-leaders/welcome" TargetMode="External"/><Relationship Id="rId107" Type="http://schemas.openxmlformats.org/officeDocument/2006/relationships/hyperlink" Target="https://www.linkedin.com/learning/improving-employee-performance" TargetMode="External"/><Relationship Id="rId11" Type="http://schemas.openxmlformats.org/officeDocument/2006/relationships/hyperlink" Target="https://www.linkedin.com/learning/foundations-of-performance-management-with-nigel-cumberland" TargetMode="External"/><Relationship Id="rId32" Type="http://schemas.openxmlformats.org/officeDocument/2006/relationships/hyperlink" Target="https://www.linkedin.com/learning/paths/women-in-leadership-3" TargetMode="External"/><Relationship Id="rId53" Type="http://schemas.openxmlformats.org/officeDocument/2006/relationships/hyperlink" Target="https://www.linkedin.com/learning/setting-team-and-employee-goals" TargetMode="External"/><Relationship Id="rId74" Type="http://schemas.openxmlformats.org/officeDocument/2006/relationships/hyperlink" Target="https://www.linkedin.com/learning/implementing-continuous-improvement-a-case-study" TargetMode="External"/><Relationship Id="rId128" Type="http://schemas.openxmlformats.org/officeDocument/2006/relationships/hyperlink" Target="https://www.linkedin.com/learning/reframing-organizations-blinkist-summary" TargetMode="External"/><Relationship Id="rId149" Type="http://schemas.openxmlformats.org/officeDocument/2006/relationships/hyperlink" Target="https://www.linkedin.com/learning/adaptive-project-leadership/adaptive-thinking-in-practice" TargetMode="External"/><Relationship Id="rId5" Type="http://schemas.openxmlformats.org/officeDocument/2006/relationships/hyperlink" Target="https://www.linkedin.com/learning/creating-a-high-performance-culture/components-of-high-performing-cultures" TargetMode="External"/><Relationship Id="rId95" Type="http://schemas.openxmlformats.org/officeDocument/2006/relationships/hyperlink" Target="https://www.linkedin.com/learning/leading-virtual-meetings" TargetMode="External"/><Relationship Id="rId160" Type="http://schemas.openxmlformats.org/officeDocument/2006/relationships/hyperlink" Target="https://www.linkedin.com/learning/developing-your-team-members" TargetMode="External"/><Relationship Id="rId181" Type="http://schemas.openxmlformats.org/officeDocument/2006/relationships/hyperlink" Target="https://www.linkedin.com/learning/measuring-team-performance" TargetMode="External"/><Relationship Id="rId216" Type="http://schemas.openxmlformats.org/officeDocument/2006/relationships/hyperlink" Target="https://www.linkedin.com/learning/leading-and-working-in-teams" TargetMode="External"/><Relationship Id="rId237" Type="http://schemas.openxmlformats.org/officeDocument/2006/relationships/hyperlink" Target="https://www.linkedin.com/learning/leading-in-uncertain-times" TargetMode="External"/><Relationship Id="rId22" Type="http://schemas.openxmlformats.org/officeDocument/2006/relationships/hyperlink" Target="https://www.linkedin.com/learning/paths/become-an-inclusive-leader" TargetMode="External"/><Relationship Id="rId43" Type="http://schemas.openxmlformats.org/officeDocument/2006/relationships/hyperlink" Target="https://www.linkedin.com/learning/mastering-organizational-chaos" TargetMode="External"/><Relationship Id="rId64" Type="http://schemas.openxmlformats.org/officeDocument/2006/relationships/hyperlink" Target="https://www.linkedin.com/learning/fred-kofman-on-accountability" TargetMode="External"/><Relationship Id="rId118" Type="http://schemas.openxmlformats.org/officeDocument/2006/relationships/hyperlink" Target="https://www.linkedin.com/learning/leadership-fundamentals" TargetMode="External"/><Relationship Id="rId139" Type="http://schemas.openxmlformats.org/officeDocument/2006/relationships/hyperlink" Target="https://www.linkedin.com/learning/leading-and-managing-the-whole-self" TargetMode="External"/><Relationship Id="rId85" Type="http://schemas.openxmlformats.org/officeDocument/2006/relationships/hyperlink" Target="https://www.linkedin.com/learning/leading-yourself" TargetMode="External"/><Relationship Id="rId150" Type="http://schemas.openxmlformats.org/officeDocument/2006/relationships/hyperlink" Target="https://www.linkedin.com/learning/the-secret-what-great-leaders-know-and-do-getabstract-summary" TargetMode="External"/><Relationship Id="rId171" Type="http://schemas.openxmlformats.org/officeDocument/2006/relationships/hyperlink" Target="https://www.linkedin.com/learning/what-s-next-reinventing-work-in-the-new-normal" TargetMode="External"/><Relationship Id="rId192" Type="http://schemas.openxmlformats.org/officeDocument/2006/relationships/hyperlink" Target="https://www.linkedin.com/learning/leading-and-managing-the-whole-self" TargetMode="External"/><Relationship Id="rId206" Type="http://schemas.openxmlformats.org/officeDocument/2006/relationships/hyperlink" Target="https://www.linkedin.com/learning/collaborative-leadership" TargetMode="External"/><Relationship Id="rId227" Type="http://schemas.openxmlformats.org/officeDocument/2006/relationships/hyperlink" Target="https://www.linkedin.com/learning/business-ethics-for-managers-and-leaders-2019" TargetMode="External"/><Relationship Id="rId12" Type="http://schemas.openxmlformats.org/officeDocument/2006/relationships/hyperlink" Target="https://www.linkedin.com/learning/paths/advance-your-skills-as-a-manager" TargetMode="External"/><Relationship Id="rId33" Type="http://schemas.openxmlformats.org/officeDocument/2006/relationships/hyperlink" Target="https://www.linkedin.com/learning/using-emotions-to-leverage-and-accelerate-change-a-guide-for-leaders" TargetMode="External"/><Relationship Id="rId108" Type="http://schemas.openxmlformats.org/officeDocument/2006/relationships/hyperlink" Target="https://www.linkedin.com/learning/the-purpose-effect-getabstract-summary" TargetMode="External"/><Relationship Id="rId129" Type="http://schemas.openxmlformats.org/officeDocument/2006/relationships/hyperlink" Target="https://www.linkedin.com/learning/project-leadership" TargetMode="External"/><Relationship Id="rId54" Type="http://schemas.openxmlformats.org/officeDocument/2006/relationships/hyperlink" Target="https://www.linkedin.com/learning/jeff-dyer-on-innovation" TargetMode="External"/><Relationship Id="rId75" Type="http://schemas.openxmlformats.org/officeDocument/2006/relationships/hyperlink" Target="https://www.linkedin.com/learning/mission-and-vision-statements-explained" TargetMode="External"/><Relationship Id="rId96" Type="http://schemas.openxmlformats.org/officeDocument/2006/relationships/hyperlink" Target="https://www.linkedin.com/learning/leading-with-innovation" TargetMode="External"/><Relationship Id="rId140" Type="http://schemas.openxmlformats.org/officeDocument/2006/relationships/hyperlink" Target="https://www.linkedin.com/learning/leading-and-managing-the-whole-self" TargetMode="External"/><Relationship Id="rId161" Type="http://schemas.openxmlformats.org/officeDocument/2006/relationships/hyperlink" Target="https://www.linkedin.com/learning/enhancing-team-innovation" TargetMode="External"/><Relationship Id="rId182" Type="http://schemas.openxmlformats.org/officeDocument/2006/relationships/hyperlink" Target="https://www.linkedin.com/learning/leading-with-values" TargetMode="External"/><Relationship Id="rId217" Type="http://schemas.openxmlformats.org/officeDocument/2006/relationships/hyperlink" Target="https://www.linkedin.com/learning/leading-effectively" TargetMode="External"/><Relationship Id="rId6" Type="http://schemas.openxmlformats.org/officeDocument/2006/relationships/hyperlink" Target="https://www.linkedin.com/learning/paths/managing-others-effectively-3" TargetMode="External"/><Relationship Id="rId238" Type="http://schemas.openxmlformats.org/officeDocument/2006/relationships/hyperlink" Target="https://www.linkedin.com/learning/leading-change-in-large-distributed-organizations" TargetMode="External"/><Relationship Id="rId23" Type="http://schemas.openxmlformats.org/officeDocument/2006/relationships/hyperlink" Target="https://www.linkedin.com/learning/delegating-tasks" TargetMode="External"/><Relationship Id="rId119" Type="http://schemas.openxmlformats.org/officeDocument/2006/relationships/hyperlink" Target="https://www.linkedin.com/learning/motivating-and-engaging-employees-2" TargetMode="External"/><Relationship Id="rId44" Type="http://schemas.openxmlformats.org/officeDocument/2006/relationships/hyperlink" Target="https://www.linkedin.com/learning/paths/diversity-inclusion-and-belonging-for-leaders-and-managers" TargetMode="External"/><Relationship Id="rId65" Type="http://schemas.openxmlformats.org/officeDocument/2006/relationships/hyperlink" Target="https://www.linkedin.com/learning/how-to-give-and-receive-useful-feedback-every-month" TargetMode="External"/><Relationship Id="rId86" Type="http://schemas.openxmlformats.org/officeDocument/2006/relationships/hyperlink" Target="https://www.linkedin.com/learning/project-leadership" TargetMode="External"/><Relationship Id="rId130" Type="http://schemas.openxmlformats.org/officeDocument/2006/relationships/hyperlink" Target="https://www.linkedin.com/learning/advice-for-leaders-during-a-crisis" TargetMode="External"/><Relationship Id="rId151" Type="http://schemas.openxmlformats.org/officeDocument/2006/relationships/hyperlink" Target="https://www.linkedin.com/learning/coaching-employees-through-difficult-situations" TargetMode="External"/><Relationship Id="rId172" Type="http://schemas.openxmlformats.org/officeDocument/2006/relationships/hyperlink" Target="https://www.linkedin.com/learning/managing-employee-performance-problems-3" TargetMode="External"/><Relationship Id="rId193" Type="http://schemas.openxmlformats.org/officeDocument/2006/relationships/hyperlink" Target="https://www.linkedin.com/learning/having-career-conversations-with-your-team-members" TargetMode="External"/><Relationship Id="rId207" Type="http://schemas.openxmlformats.org/officeDocument/2006/relationships/hyperlink" Target="https://www.linkedin.com/learning/creating-a-communications-strategy" TargetMode="External"/><Relationship Id="rId228" Type="http://schemas.openxmlformats.org/officeDocument/2006/relationships/hyperlink" Target="https://www.linkedin.com/learning/navigating-politics-as-a-senior-leader" TargetMode="External"/><Relationship Id="rId13" Type="http://schemas.openxmlformats.org/officeDocument/2006/relationships/hyperlink" Target="https://www.linkedin.com/learning/strategic-agility" TargetMode="External"/><Relationship Id="rId109" Type="http://schemas.openxmlformats.org/officeDocument/2006/relationships/hyperlink" Target="https://www.linkedin.com/learning/culture-of-kaizen" TargetMode="External"/><Relationship Id="rId34" Type="http://schemas.openxmlformats.org/officeDocument/2006/relationships/hyperlink" Target="https://www.linkedin.com/learning/paths/master-in-demand-skills-for-technology-leadership" TargetMode="External"/><Relationship Id="rId55" Type="http://schemas.openxmlformats.org/officeDocument/2006/relationships/hyperlink" Target="https://www.linkedin.com/learning/body-language-for-leaders" TargetMode="External"/><Relationship Id="rId76" Type="http://schemas.openxmlformats.org/officeDocument/2006/relationships/hyperlink" Target="https://www.linkedin.com/learning/leadership-stories-weekly" TargetMode="External"/><Relationship Id="rId97" Type="http://schemas.openxmlformats.org/officeDocument/2006/relationships/hyperlink" Target="https://www.linkedin.com/learning/women-transforming-tech-voices-from-the-field" TargetMode="External"/><Relationship Id="rId120" Type="http://schemas.openxmlformats.org/officeDocument/2006/relationships/hyperlink" Target="https://www.linkedin.com/learning/emily-cohen-brutal-honesty-as-a-business-strategy" TargetMode="External"/><Relationship Id="rId141" Type="http://schemas.openxmlformats.org/officeDocument/2006/relationships/hyperlink" Target="https://www.linkedin.com/learning/leading-organizations-ten-timeless-truths-getabstract-summary" TargetMode="External"/><Relationship Id="rId7" Type="http://schemas.openxmlformats.org/officeDocument/2006/relationships/hyperlink" Target="https://www.linkedin.com/learning/leading-change-4" TargetMode="External"/><Relationship Id="rId162" Type="http://schemas.openxmlformats.org/officeDocument/2006/relationships/hyperlink" Target="https://www.linkedin.com/learning/the-leader-habit-blinkist-summary" TargetMode="External"/><Relationship Id="rId183" Type="http://schemas.openxmlformats.org/officeDocument/2006/relationships/hyperlink" Target="https://www.linkedin.com/learning/communicating-internally-during-times-of-uncertainty" TargetMode="External"/><Relationship Id="rId218" Type="http://schemas.openxmlformats.org/officeDocument/2006/relationships/hyperlink" Target="https://www.linkedin.com/learning/project-management-foundations-leading-projects" TargetMode="External"/><Relationship Id="rId239" Type="http://schemas.openxmlformats.org/officeDocument/2006/relationships/hyperlink" Target="https://www.linkedin.com/learning/the-definitive-drucker-getabstract-summary" TargetMode="External"/><Relationship Id="rId24" Type="http://schemas.openxmlformats.org/officeDocument/2006/relationships/hyperlink" Target="https://www.linkedin.com/learning/paths/improve-your-coaching-skills-as-a-manager" TargetMode="External"/><Relationship Id="rId45" Type="http://schemas.openxmlformats.org/officeDocument/2006/relationships/hyperlink" Target="https://www.linkedin.com/learning/new-manager-foundations-2" TargetMode="External"/><Relationship Id="rId66" Type="http://schemas.openxmlformats.org/officeDocument/2006/relationships/hyperlink" Target="https://www.linkedin.com/learning/performing-under-pressure" TargetMode="External"/><Relationship Id="rId87" Type="http://schemas.openxmlformats.org/officeDocument/2006/relationships/hyperlink" Target="https://www.linkedin.com/learning/advocating-for-change-in-your-organization" TargetMode="External"/><Relationship Id="rId110" Type="http://schemas.openxmlformats.org/officeDocument/2006/relationships/hyperlink" Target="https://www.linkedin.com/learning/management-top-tips/listening-and-asking-questions" TargetMode="External"/><Relationship Id="rId131" Type="http://schemas.openxmlformats.org/officeDocument/2006/relationships/hyperlink" Target="https://www.linkedin.com/learning/driving-change-and-anti-racism" TargetMode="External"/><Relationship Id="rId152" Type="http://schemas.openxmlformats.org/officeDocument/2006/relationships/hyperlink" Target="https://www.linkedin.com/learning/building-resilience-as-a-leader" TargetMode="External"/><Relationship Id="rId173" Type="http://schemas.openxmlformats.org/officeDocument/2006/relationships/hyperlink" Target="https://www.linkedin.com/learning/risk-taking-for-leaders" TargetMode="External"/><Relationship Id="rId194" Type="http://schemas.openxmlformats.org/officeDocument/2006/relationships/hyperlink" Target="https://www.linkedin.com/learning/demonstrating-accountabilty-as-a-leader" TargetMode="External"/><Relationship Id="rId208" Type="http://schemas.openxmlformats.org/officeDocument/2006/relationships/hyperlink" Target="https://www.linkedin.com/learning/developing-your-leadership-philosophy" TargetMode="External"/><Relationship Id="rId229" Type="http://schemas.openxmlformats.org/officeDocument/2006/relationships/hyperlink" Target="https://www.linkedin.com/learning/lessons-in-enlightened-leadership" TargetMode="External"/><Relationship Id="rId14" Type="http://schemas.openxmlformats.org/officeDocument/2006/relationships/hyperlink" Target="https://www.linkedin.com/learning/paths/digital-transformation-for-leaders" TargetMode="External"/><Relationship Id="rId35" Type="http://schemas.openxmlformats.org/officeDocument/2006/relationships/hyperlink" Target="https://www.linkedin.com/learning/managing-high-performers" TargetMode="External"/><Relationship Id="rId56" Type="http://schemas.openxmlformats.org/officeDocument/2006/relationships/hyperlink" Target="https://www.linkedin.com/learning/simplifying-business-processes" TargetMode="External"/><Relationship Id="rId77" Type="http://schemas.openxmlformats.org/officeDocument/2006/relationships/hyperlink" Target="https://www.linkedin.com/learning/culture-of-kaizen" TargetMode="External"/><Relationship Id="rId100" Type="http://schemas.openxmlformats.org/officeDocument/2006/relationships/hyperlink" Target="https://www.linkedin.com/learning/leadership-foundations-the-basics-2019" TargetMode="External"/><Relationship Id="rId8" Type="http://schemas.openxmlformats.org/officeDocument/2006/relationships/hyperlink" Target="https://www.linkedin.com/learning/paths/become-a-thought-leader" TargetMode="External"/><Relationship Id="rId98" Type="http://schemas.openxmlformats.org/officeDocument/2006/relationships/hyperlink" Target="https://www.linkedin.com/learning/goal-setting-objectives-and-key-results-okrs" TargetMode="External"/><Relationship Id="rId121" Type="http://schemas.openxmlformats.org/officeDocument/2006/relationships/hyperlink" Target="https://www.linkedin.com/learning/work-on-purpose" TargetMode="External"/><Relationship Id="rId142" Type="http://schemas.openxmlformats.org/officeDocument/2006/relationships/hyperlink" Target="https://www.linkedin.com/learning/managing-remote-teams-setting-expectations-behaviors-and-habits" TargetMode="External"/><Relationship Id="rId163" Type="http://schemas.openxmlformats.org/officeDocument/2006/relationships/hyperlink" Target="https://www.linkedin.com/learning/employee-experience" TargetMode="External"/><Relationship Id="rId184" Type="http://schemas.openxmlformats.org/officeDocument/2006/relationships/hyperlink" Target="https://www.linkedin.com/learning/time-management-for-managers" TargetMode="External"/><Relationship Id="rId219" Type="http://schemas.openxmlformats.org/officeDocument/2006/relationships/hyperlink" Target="https://www.linkedin.com/learning/leading-through-relationships" TargetMode="External"/><Relationship Id="rId230" Type="http://schemas.openxmlformats.org/officeDocument/2006/relationships/hyperlink" Target="https://www.linkedin.com/learning/having-career-conversations-with-your-team-members" TargetMode="External"/><Relationship Id="rId25" Type="http://schemas.openxmlformats.org/officeDocument/2006/relationships/hyperlink" Target="https://www.linkedin.com/learning/key-psychological-principles-for-ethical-persuasion" TargetMode="External"/><Relationship Id="rId46" Type="http://schemas.openxmlformats.org/officeDocument/2006/relationships/hyperlink" Target="https://www.linkedin.com/learning/paths/managing-and-leading-developers" TargetMode="External"/><Relationship Id="rId67" Type="http://schemas.openxmlformats.org/officeDocument/2006/relationships/hyperlink" Target="https://www.linkedin.com/learning/jeff-weiner-on-managing-compassionately/what-is-compassionate-management" TargetMode="External"/><Relationship Id="rId88" Type="http://schemas.openxmlformats.org/officeDocument/2006/relationships/hyperlink" Target="https://www.linkedin.com/learning/ryan-holmes-on-social-leadership" TargetMode="External"/><Relationship Id="rId111" Type="http://schemas.openxmlformats.org/officeDocument/2006/relationships/hyperlink" Target="https://www.linkedin.com/learning/the-courage-habit-getabstract-summary" TargetMode="External"/><Relationship Id="rId132" Type="http://schemas.openxmlformats.org/officeDocument/2006/relationships/hyperlink" Target="https://www.linkedin.com/learning/leading-with-emotional-intelligence-3" TargetMode="External"/><Relationship Id="rId153" Type="http://schemas.openxmlformats.org/officeDocument/2006/relationships/hyperlink" Target="https://www.linkedin.com/learning/bring-your-human-to-work-getabstract-summary" TargetMode="External"/><Relationship Id="rId174" Type="http://schemas.openxmlformats.org/officeDocument/2006/relationships/hyperlink" Target="https://www.linkedin.com/learning/advice-for-leaders-during-a-crisis" TargetMode="External"/><Relationship Id="rId195" Type="http://schemas.openxmlformats.org/officeDocument/2006/relationships/hyperlink" Target="https://www.linkedin.com/learning/succeeding-as-a-leader-in-tech" TargetMode="External"/><Relationship Id="rId209" Type="http://schemas.openxmlformats.org/officeDocument/2006/relationships/hyperlink" Target="https://www.linkedin.com/learning/leading-change-in-large-distributed-organizations" TargetMode="External"/><Relationship Id="rId190" Type="http://schemas.openxmlformats.org/officeDocument/2006/relationships/hyperlink" Target="https://www.linkedin.com/learning/managing-for-better-ideas" TargetMode="External"/><Relationship Id="rId204" Type="http://schemas.openxmlformats.org/officeDocument/2006/relationships/hyperlink" Target="https://www.linkedin.com/learning/coaching-skills-for-leaders-and-managers" TargetMode="External"/><Relationship Id="rId220" Type="http://schemas.openxmlformats.org/officeDocument/2006/relationships/hyperlink" Target="https://www.linkedin.com/learning/leading-with-kindness-and-strength" TargetMode="External"/><Relationship Id="rId225" Type="http://schemas.openxmlformats.org/officeDocument/2006/relationships/hyperlink" Target="https://www.linkedin.com/learning/powerless-to-powerful-taking-control" TargetMode="External"/><Relationship Id="rId15" Type="http://schemas.openxmlformats.org/officeDocument/2006/relationships/hyperlink" Target="https://www.linkedin.com/learning/leading-with-vision" TargetMode="External"/><Relationship Id="rId36" Type="http://schemas.openxmlformats.org/officeDocument/2006/relationships/hyperlink" Target="https://www.linkedin.com/learning/paths/managing-performance" TargetMode="External"/><Relationship Id="rId57" Type="http://schemas.openxmlformats.org/officeDocument/2006/relationships/hyperlink" Target="https://www.linkedin.com/learning/learning-design-for-sustainability/welcome" TargetMode="External"/><Relationship Id="rId106" Type="http://schemas.openxmlformats.org/officeDocument/2006/relationships/hyperlink" Target="https://www.linkedin.com/learning/implementing-continuous-improvement-a-case-study" TargetMode="External"/><Relationship Id="rId127" Type="http://schemas.openxmlformats.org/officeDocument/2006/relationships/hyperlink" Target="https://www.linkedin.com/learning/why-motivating-people-doesn-t-work-and-what-does-getabstract-summary" TargetMode="External"/><Relationship Id="rId10" Type="http://schemas.openxmlformats.org/officeDocument/2006/relationships/hyperlink" Target="https://www.linkedin.com/learning/paths/become-a-leader" TargetMode="External"/><Relationship Id="rId31" Type="http://schemas.openxmlformats.org/officeDocument/2006/relationships/hyperlink" Target="https://www.linkedin.com/learning/business-innovation-foundations" TargetMode="External"/><Relationship Id="rId52" Type="http://schemas.openxmlformats.org/officeDocument/2006/relationships/hyperlink" Target="https://www.linkedin.com/learning/bill-george-on-self-awareness-authenticity-and-leadership" TargetMode="External"/><Relationship Id="rId73" Type="http://schemas.openxmlformats.org/officeDocument/2006/relationships/hyperlink" Target="https://www.linkedin.com/learning/leadership-foundations-leadership-styles-and-models" TargetMode="External"/><Relationship Id="rId78" Type="http://schemas.openxmlformats.org/officeDocument/2006/relationships/hyperlink" Target="https://www.linkedin.com/learning/becoming-an-ai-first-product-leader" TargetMode="External"/><Relationship Id="rId94" Type="http://schemas.openxmlformats.org/officeDocument/2006/relationships/hyperlink" Target="https://www.linkedin.com/learning/women-transforming-tech-finding-sponsors" TargetMode="External"/><Relationship Id="rId99" Type="http://schemas.openxmlformats.org/officeDocument/2006/relationships/hyperlink" Target="https://www.linkedin.com/learning/managing-stress-for-positive-change/how-to-use-this-course" TargetMode="External"/><Relationship Id="rId101" Type="http://schemas.openxmlformats.org/officeDocument/2006/relationships/hyperlink" Target="https://www.linkedin.com/learning/recognizing-and-rewarding-your-workers" TargetMode="External"/><Relationship Id="rId122" Type="http://schemas.openxmlformats.org/officeDocument/2006/relationships/hyperlink" Target="https://www.linkedin.com/learning/building-change-capability-for-managers" TargetMode="External"/><Relationship Id="rId143" Type="http://schemas.openxmlformats.org/officeDocument/2006/relationships/hyperlink" Target="https://www.linkedin.com/learning/using-emotions-to-leverage-and-accelerate-change-a-guide-for-leaders" TargetMode="External"/><Relationship Id="rId148" Type="http://schemas.openxmlformats.org/officeDocument/2006/relationships/hyperlink" Target="https://www.linkedin.com/learning/building-a-coaching-culture-improving-performance-through-timely-feedback/respectful-candor" TargetMode="External"/><Relationship Id="rId164" Type="http://schemas.openxmlformats.org/officeDocument/2006/relationships/hyperlink" Target="https://www.linkedin.com/learning/leading-your-team-through-change" TargetMode="External"/><Relationship Id="rId169" Type="http://schemas.openxmlformats.org/officeDocument/2006/relationships/hyperlink" Target="https://www.linkedin.com/learning/leading-and-working-in-teams" TargetMode="External"/><Relationship Id="rId185" Type="http://schemas.openxmlformats.org/officeDocument/2006/relationships/hyperlink" Target="https://www.linkedin.com/learning/communicating-an-enterprise-wide-transformation" TargetMode="External"/><Relationship Id="rId4" Type="http://schemas.openxmlformats.org/officeDocument/2006/relationships/hyperlink" Target="https://www.linkedin.com/learning/paths/leading-others-effectively" TargetMode="External"/><Relationship Id="rId9" Type="http://schemas.openxmlformats.org/officeDocument/2006/relationships/hyperlink" Target="https://www.linkedin.com/learning/leading-change-4" TargetMode="External"/><Relationship Id="rId180" Type="http://schemas.openxmlformats.org/officeDocument/2006/relationships/hyperlink" Target="https://www.linkedin.com/learning/conducting-motivational-1-on-1-reviews" TargetMode="External"/><Relationship Id="rId210" Type="http://schemas.openxmlformats.org/officeDocument/2006/relationships/hyperlink" Target="https://www.linkedin.com/learning/executive-decision-making/welcome" TargetMode="External"/><Relationship Id="rId215" Type="http://schemas.openxmlformats.org/officeDocument/2006/relationships/hyperlink" Target="https://www.linkedin.com/learning/leadership-blind-spots" TargetMode="External"/><Relationship Id="rId236" Type="http://schemas.openxmlformats.org/officeDocument/2006/relationships/hyperlink" Target="https://www.linkedin.com/learning/how-to-innovate-and-stay-relevant-in-times-of-change-and-uncertainty-uk" TargetMode="External"/><Relationship Id="rId26" Type="http://schemas.openxmlformats.org/officeDocument/2006/relationships/hyperlink" Target="https://www.linkedin.com/learning/paths/managing-change" TargetMode="External"/><Relationship Id="rId231" Type="http://schemas.openxmlformats.org/officeDocument/2006/relationships/hyperlink" Target="https://www.linkedin.com/learning/leading-with-values" TargetMode="External"/><Relationship Id="rId47" Type="http://schemas.openxmlformats.org/officeDocument/2006/relationships/hyperlink" Target="https://www.linkedin.com/learning/embracing-unexpected-change" TargetMode="External"/><Relationship Id="rId68" Type="http://schemas.openxmlformats.org/officeDocument/2006/relationships/hyperlink" Target="https://www.linkedin.com/learning/simple-manager-tools-that-cure-the-under-management-epidemic" TargetMode="External"/><Relationship Id="rId89" Type="http://schemas.openxmlformats.org/officeDocument/2006/relationships/hyperlink" Target="https://www.linkedin.com/learning/how-to-effectively-deliver-criticism" TargetMode="External"/><Relationship Id="rId112" Type="http://schemas.openxmlformats.org/officeDocument/2006/relationships/hyperlink" Target="https://www.linkedin.com/learning/developing-assertive-leadership" TargetMode="External"/><Relationship Id="rId133" Type="http://schemas.openxmlformats.org/officeDocument/2006/relationships/hyperlink" Target="https://www.linkedin.com/learning/the-eight-essential-people-skills-for-project-management-blinkist-summary" TargetMode="External"/><Relationship Id="rId154" Type="http://schemas.openxmlformats.org/officeDocument/2006/relationships/hyperlink" Target="https://www.linkedin.com/learning/creating-the-conditions-for-others-to-thrive" TargetMode="External"/><Relationship Id="rId175" Type="http://schemas.openxmlformats.org/officeDocument/2006/relationships/hyperlink" Target="https://www.linkedin.com/learning/managing-for-results" TargetMode="External"/><Relationship Id="rId196" Type="http://schemas.openxmlformats.org/officeDocument/2006/relationships/hyperlink" Target="https://www.linkedin.com/learning/fostering-belonging-as-a-leader" TargetMode="External"/><Relationship Id="rId200" Type="http://schemas.openxmlformats.org/officeDocument/2006/relationships/hyperlink" Target="https://www.linkedin.com/learning/how-to-successfully-lead-a-pmo" TargetMode="External"/><Relationship Id="rId16" Type="http://schemas.openxmlformats.org/officeDocument/2006/relationships/hyperlink" Target="https://www.linkedin.com/learning/paths/become-a-thought-leader" TargetMode="External"/><Relationship Id="rId221" Type="http://schemas.openxmlformats.org/officeDocument/2006/relationships/hyperlink" Target="https://www.linkedin.com/learning/leading-with-purpose/employees-crave-purpose" TargetMode="External"/><Relationship Id="rId37" Type="http://schemas.openxmlformats.org/officeDocument/2006/relationships/hyperlink" Target="https://www.linkedin.com/learning/cultivating-a-growth-mindset/create-a-growth-mindset" TargetMode="External"/><Relationship Id="rId58" Type="http://schemas.openxmlformats.org/officeDocument/2006/relationships/hyperlink" Target="https://www.linkedin.com/learning/developing-credibility-as-a-leader" TargetMode="External"/><Relationship Id="rId79" Type="http://schemas.openxmlformats.org/officeDocument/2006/relationships/hyperlink" Target="https://www.linkedin.com/learning/leadership-practical-skills/welcome" TargetMode="External"/><Relationship Id="rId102" Type="http://schemas.openxmlformats.org/officeDocument/2006/relationships/hyperlink" Target="https://www.linkedin.com/learning/building-change-capability-for-managers" TargetMode="External"/><Relationship Id="rId123" Type="http://schemas.openxmlformats.org/officeDocument/2006/relationships/hyperlink" Target="https://www.linkedin.com/learning/body-language-for-leaders-2019" TargetMode="External"/><Relationship Id="rId144" Type="http://schemas.openxmlformats.org/officeDocument/2006/relationships/hyperlink" Target="https://www.linkedin.com/learning/humble-inquiry-the-gentle-art-of-asking-instead-of-telling-getabstract-summary" TargetMode="External"/><Relationship Id="rId90" Type="http://schemas.openxmlformats.org/officeDocument/2006/relationships/hyperlink" Target="https://www.linkedin.com/learning/project-audio-highlights-2020" TargetMode="External"/><Relationship Id="rId165" Type="http://schemas.openxmlformats.org/officeDocument/2006/relationships/hyperlink" Target="https://www.linkedin.com/learning/the-fearless-organization-blinkist-summary" TargetMode="External"/><Relationship Id="rId186" Type="http://schemas.openxmlformats.org/officeDocument/2006/relationships/hyperlink" Target="https://www.linkedin.com/learning/on-leadership-by-jeff-weiner" TargetMode="External"/><Relationship Id="rId211" Type="http://schemas.openxmlformats.org/officeDocument/2006/relationships/hyperlink" Target="https://www.linkedin.com/learning/executive-leadership/communicate-to-motivate-and-inspire" TargetMode="External"/><Relationship Id="rId232" Type="http://schemas.openxmlformats.org/officeDocument/2006/relationships/hyperlink" Target="https://www.linkedin.com/learning/building-and-managing-a-high-performing-sales-team" TargetMode="External"/><Relationship Id="rId27" Type="http://schemas.openxmlformats.org/officeDocument/2006/relationships/hyperlink" Target="https://www.linkedin.com/learning/vision-in-action-leaders-live-case-studies" TargetMode="External"/><Relationship Id="rId48" Type="http://schemas.openxmlformats.org/officeDocument/2006/relationships/hyperlink" Target="https://www.linkedin.com/learning/inspirational-leadership-skills-practical-motivational-leadership" TargetMode="External"/><Relationship Id="rId69" Type="http://schemas.openxmlformats.org/officeDocument/2006/relationships/hyperlink" Target="https://www.linkedin.com/learning/women-transforming-tech-breaking-in-and-staying-in-the-industry" TargetMode="External"/><Relationship Id="rId113" Type="http://schemas.openxmlformats.org/officeDocument/2006/relationships/hyperlink" Target="https://www.linkedin.com/learning/managing-teams-3" TargetMode="External"/><Relationship Id="rId134" Type="http://schemas.openxmlformats.org/officeDocument/2006/relationships/hyperlink" Target="https://www.linkedin.com/learning/a-manager-s-toolkit-for-supporting-change" TargetMode="External"/><Relationship Id="rId80" Type="http://schemas.openxmlformats.org/officeDocument/2006/relationships/hyperlink" Target="https://www.linkedin.com/learning/configure-and-manage-workload-integrations" TargetMode="External"/><Relationship Id="rId155" Type="http://schemas.openxmlformats.org/officeDocument/2006/relationships/hyperlink" Target="https://www.linkedin.com/learning/change-management-foundations/welcome" TargetMode="External"/><Relationship Id="rId176" Type="http://schemas.openxmlformats.org/officeDocument/2006/relationships/hyperlink" Target="https://www.linkedin.com/learning/sustainability-strategies" TargetMode="External"/><Relationship Id="rId197" Type="http://schemas.openxmlformats.org/officeDocument/2006/relationships/hyperlink" Target="https://www.linkedin.com/learning/how-leaders-can-motivate-by-creating-meaning" TargetMode="External"/><Relationship Id="rId201" Type="http://schemas.openxmlformats.org/officeDocument/2006/relationships/hyperlink" Target="https://www.linkedin.com/learning/creating-winning-teams" TargetMode="External"/><Relationship Id="rId222" Type="http://schemas.openxmlformats.org/officeDocument/2006/relationships/hyperlink" Target="https://www.linkedin.com/learning/leading-without-formal-authority" TargetMode="External"/><Relationship Id="rId17" Type="http://schemas.openxmlformats.org/officeDocument/2006/relationships/hyperlink" Target="https://www.linkedin.com/learning/boosting-your-team-s-productivity/next-steps" TargetMode="External"/><Relationship Id="rId38" Type="http://schemas.openxmlformats.org/officeDocument/2006/relationships/hyperlink" Target="https://www.linkedin.com/learning/paths/manage-change-and-develop-your-adaptability-skills" TargetMode="External"/><Relationship Id="rId59" Type="http://schemas.openxmlformats.org/officeDocument/2006/relationships/hyperlink" Target="https://www.linkedin.com/learning/talent-management/what-you-should-know-before-watching-this-course" TargetMode="External"/><Relationship Id="rId103" Type="http://schemas.openxmlformats.org/officeDocument/2006/relationships/hyperlink" Target="https://www.linkedin.com/learning/management-foundations-2019" TargetMode="External"/><Relationship Id="rId124" Type="http://schemas.openxmlformats.org/officeDocument/2006/relationships/hyperlink" Target="https://www.linkedin.com/learning/superhuman-innovation-blinkist-summary" TargetMode="External"/><Relationship Id="rId70" Type="http://schemas.openxmlformats.org/officeDocument/2006/relationships/hyperlink" Target="https://www.linkedin.com/learning/ken-blanchard-on-servant-leadership" TargetMode="External"/><Relationship Id="rId91" Type="http://schemas.openxmlformats.org/officeDocument/2006/relationships/hyperlink" Target="https://www.linkedin.com/learning/transitioning-from-manager-to-leader" TargetMode="External"/><Relationship Id="rId145" Type="http://schemas.openxmlformats.org/officeDocument/2006/relationships/hyperlink" Target="https://www.linkedin.com/learning/decision-making-strategies-for-optimal-team-performance-a-primer-for-team-leaders" TargetMode="External"/><Relationship Id="rId166" Type="http://schemas.openxmlformats.org/officeDocument/2006/relationships/hyperlink" Target="https://www.linkedin.com/learning/facilitation-skills-for-managers-and-leaders" TargetMode="External"/><Relationship Id="rId187" Type="http://schemas.openxmlformats.org/officeDocument/2006/relationships/hyperlink" Target="https://www.linkedin.com/learning/business-ethics-for-managers-and-leaders-2019" TargetMode="External"/><Relationship Id="rId1" Type="http://schemas.openxmlformats.org/officeDocument/2006/relationships/hyperlink" Target="https://www.linkedin.com/learning/creating-a-culture-of-change" TargetMode="External"/><Relationship Id="rId212" Type="http://schemas.openxmlformats.org/officeDocument/2006/relationships/hyperlink" Target="https://www.linkedin.com/learning/human-centered-leadership/leading-with-purpose" TargetMode="External"/><Relationship Id="rId233" Type="http://schemas.openxmlformats.org/officeDocument/2006/relationships/hyperlink" Target="https://www.linkedin.com/learning/predictive-analytics-essential-training-for-executives" TargetMode="External"/><Relationship Id="rId28" Type="http://schemas.openxmlformats.org/officeDocument/2006/relationships/hyperlink" Target="https://www.linkedin.com/learning/paths/linkedin-manager-to-leader" TargetMode="External"/><Relationship Id="rId49" Type="http://schemas.openxmlformats.org/officeDocument/2006/relationships/hyperlink" Target="https://www.linkedin.com/learning/paths/leading-others-effectively" TargetMode="External"/><Relationship Id="rId114" Type="http://schemas.openxmlformats.org/officeDocument/2006/relationships/hyperlink" Target="https://www.linkedin.com/learning/leading-like-a-futurist" TargetMode="External"/><Relationship Id="rId60" Type="http://schemas.openxmlformats.org/officeDocument/2006/relationships/hyperlink" Target="https://www.linkedin.com/learning/learning-design-thinking-lead-change-in-your-organization" TargetMode="External"/><Relationship Id="rId81" Type="http://schemas.openxmlformats.org/officeDocument/2006/relationships/hyperlink" Target="https://www.linkedin.com/learning/leading-with-fearless-mindfulness" TargetMode="External"/><Relationship Id="rId135" Type="http://schemas.openxmlformats.org/officeDocument/2006/relationships/hyperlink" Target="https://www.linkedin.com/learning/leading-with-innovation/welcome" TargetMode="External"/><Relationship Id="rId156" Type="http://schemas.openxmlformats.org/officeDocument/2006/relationships/hyperlink" Target="https://www.linkedin.com/learning/establishing-work-from-home-policies" TargetMode="External"/><Relationship Id="rId177" Type="http://schemas.openxmlformats.org/officeDocument/2006/relationships/hyperlink" Target="https://www.linkedin.com/learning/leadership-in-tech" TargetMode="External"/><Relationship Id="rId198" Type="http://schemas.openxmlformats.org/officeDocument/2006/relationships/hyperlink" Target="https://www.linkedin.com/learning/leadership-skills-for-the-future" TargetMode="External"/><Relationship Id="rId202" Type="http://schemas.openxmlformats.org/officeDocument/2006/relationships/hyperlink" Target="https://www.linkedin.com/learning/building-resilience-as-a-leader" TargetMode="External"/><Relationship Id="rId223" Type="http://schemas.openxmlformats.org/officeDocument/2006/relationships/hyperlink" Target="https://www.linkedin.com/learning/learn-the-process-of-effective-leadership" TargetMode="External"/><Relationship Id="rId18" Type="http://schemas.openxmlformats.org/officeDocument/2006/relationships/hyperlink" Target="https://www.linkedin.com/learning/paths/become-a-manager" TargetMode="External"/><Relationship Id="rId39" Type="http://schemas.openxmlformats.org/officeDocument/2006/relationships/hyperlink" Target="https://www.linkedin.com/learning/paths/remote-working-setting-yourself-and-your-teams-up-for-success" TargetMode="External"/><Relationship Id="rId50" Type="http://schemas.openxmlformats.org/officeDocument/2006/relationships/hyperlink" Target="https://www.linkedin.com/learning/performance-management-setting-goals-and-managing-performance" TargetMode="External"/><Relationship Id="rId104" Type="http://schemas.openxmlformats.org/officeDocument/2006/relationships/hyperlink" Target="https://www.linkedin.com/learning/coaching-and-developing-employees-4" TargetMode="External"/><Relationship Id="rId125" Type="http://schemas.openxmlformats.org/officeDocument/2006/relationships/hyperlink" Target="https://www.linkedin.com/learning/managing-generation-z" TargetMode="External"/><Relationship Id="rId146" Type="http://schemas.openxmlformats.org/officeDocument/2006/relationships/hyperlink" Target="https://www.linkedin.com/learning/mastering-self-leadership" TargetMode="External"/><Relationship Id="rId167" Type="http://schemas.openxmlformats.org/officeDocument/2006/relationships/hyperlink" Target="https://www.linkedin.com/learning/managing-organizational-change-for-managers" TargetMode="External"/><Relationship Id="rId188" Type="http://schemas.openxmlformats.org/officeDocument/2006/relationships/hyperlink" Target="https://www.linkedin.com/learning/how-to-innovate-and-stay-relevant-in-times-of-change-and-uncertainty-uk" TargetMode="External"/><Relationship Id="rId71" Type="http://schemas.openxmlformats.org/officeDocument/2006/relationships/hyperlink" Target="https://www.linkedin.com/learning/the-benefits-of-standardization-and-standard-work" TargetMode="External"/><Relationship Id="rId92" Type="http://schemas.openxmlformats.org/officeDocument/2006/relationships/hyperlink" Target="https://www.linkedin.com/learning/just-ask-todd-dewett-on-management-and-leadership" TargetMode="External"/><Relationship Id="rId213" Type="http://schemas.openxmlformats.org/officeDocument/2006/relationships/hyperlink" Target="https://www.linkedin.com/learning/inclusive-leadership" TargetMode="External"/><Relationship Id="rId234" Type="http://schemas.openxmlformats.org/officeDocument/2006/relationships/hyperlink" Target="https://www.linkedin.com/learning/leadership-mindsets" TargetMode="External"/><Relationship Id="rId2" Type="http://schemas.openxmlformats.org/officeDocument/2006/relationships/hyperlink" Target="https://www.linkedin.com/learning/paths/leading-during-times-of-change" TargetMode="External"/><Relationship Id="rId29" Type="http://schemas.openxmlformats.org/officeDocument/2006/relationships/hyperlink" Target="https://www.linkedin.com/learning/having-difficult-conversations-2" TargetMode="External"/><Relationship Id="rId40" Type="http://schemas.openxmlformats.org/officeDocument/2006/relationships/hyperlink" Target="https://www.linkedin.com/learning/managing-high-potentials" TargetMode="External"/><Relationship Id="rId115" Type="http://schemas.openxmlformats.org/officeDocument/2006/relationships/hyperlink" Target="https://www.linkedin.com/learning/become-a-courageous-female-leader" TargetMode="External"/><Relationship Id="rId136" Type="http://schemas.openxmlformats.org/officeDocument/2006/relationships/hyperlink" Target="https://www.linkedin.com/learning/sales-management-simplified-blinkist-summary" TargetMode="External"/><Relationship Id="rId157" Type="http://schemas.openxmlformats.org/officeDocument/2006/relationships/hyperlink" Target="https://www.linkedin.com/learning/developing-executive-presence/do-i-have-to-be-fake" TargetMode="External"/><Relationship Id="rId178" Type="http://schemas.openxmlformats.org/officeDocument/2006/relationships/hyperlink" Target="https://www.linkedin.com/learning/managing-up-down-and-across-the-organization" TargetMode="External"/><Relationship Id="rId61" Type="http://schemas.openxmlformats.org/officeDocument/2006/relationships/hyperlink" Target="https://www.linkedin.com/learning/emerging-leader-foundations/how-to-create-a-culture-of-learning" TargetMode="External"/><Relationship Id="rId82" Type="http://schemas.openxmlformats.org/officeDocument/2006/relationships/hyperlink" Target="https://www.linkedin.com/learning/leading-with-stories" TargetMode="External"/><Relationship Id="rId199" Type="http://schemas.openxmlformats.org/officeDocument/2006/relationships/hyperlink" Target="https://www.linkedin.com/learning/the-definitive-drucker-getabstract-summary" TargetMode="External"/><Relationship Id="rId203" Type="http://schemas.openxmlformats.org/officeDocument/2006/relationships/hyperlink" Target="https://www.linkedin.com/learning/creating-an-adaptable-team" TargetMode="External"/><Relationship Id="rId19" Type="http://schemas.openxmlformats.org/officeDocument/2006/relationships/hyperlink" Target="https://www.linkedin.com/learning/counterintuitive-leadership-strategies-for-a-vuca-environment" TargetMode="External"/><Relationship Id="rId224" Type="http://schemas.openxmlformats.org/officeDocument/2006/relationships/hyperlink" Target="https://www.linkedin.com/learning/negotiating-your-leadership-success" TargetMode="External"/><Relationship Id="rId30" Type="http://schemas.openxmlformats.org/officeDocument/2006/relationships/hyperlink" Target="https://www.linkedin.com/learning/paths/become-a-senior-manager" TargetMode="External"/><Relationship Id="rId105" Type="http://schemas.openxmlformats.org/officeDocument/2006/relationships/hyperlink" Target="https://www.linkedin.com/learning/leading-organizations-ten-timeless-truths-getabstract-summary" TargetMode="External"/><Relationship Id="rId126" Type="http://schemas.openxmlformats.org/officeDocument/2006/relationships/hyperlink" Target="https://www.linkedin.com/learning/aaron-dignan-on-transformational-change" TargetMode="External"/><Relationship Id="rId147" Type="http://schemas.openxmlformats.org/officeDocument/2006/relationships/hyperlink" Target="https://www.linkedin.com/learning/the-leader-s-guide-to-mindfulness-getabstract-summary" TargetMode="External"/><Relationship Id="rId168" Type="http://schemas.openxmlformats.org/officeDocument/2006/relationships/hyperlink" Target="https://www.linkedin.com/learning/leading-virtually-vulnerability-and-presence-in-wfh-times" TargetMode="External"/><Relationship Id="rId51" Type="http://schemas.openxmlformats.org/officeDocument/2006/relationships/hyperlink" Target="https://www.linkedin.com/learning/gary-hamel-on-busting-bureaucracy/welcome" TargetMode="External"/><Relationship Id="rId72" Type="http://schemas.openxmlformats.org/officeDocument/2006/relationships/hyperlink" Target="https://www.linkedin.com/learning/women-transforming-tech-negotiation" TargetMode="External"/><Relationship Id="rId93" Type="http://schemas.openxmlformats.org/officeDocument/2006/relationships/hyperlink" Target="https://www.linkedin.com/learning/being-your-own-fierce-self-advocate" TargetMode="External"/><Relationship Id="rId189" Type="http://schemas.openxmlformats.org/officeDocument/2006/relationships/hyperlink" Target="https://www.linkedin.com/learning/a-manager-s-toolkit-for-supporting-change" TargetMode="External"/><Relationship Id="rId3" Type="http://schemas.openxmlformats.org/officeDocument/2006/relationships/hyperlink" Target="https://www.linkedin.com/learning/counterintuitive-leadership-strategies-for-a-vuca-environment" TargetMode="External"/><Relationship Id="rId214" Type="http://schemas.openxmlformats.org/officeDocument/2006/relationships/hyperlink" Target="https://www.linkedin.com/learning/lead-like-a-boss" TargetMode="External"/><Relationship Id="rId235" Type="http://schemas.openxmlformats.org/officeDocument/2006/relationships/hyperlink" Target="https://www.linkedin.com/learning/how-leaders-can-motivate-by-creating-meaning" TargetMode="External"/><Relationship Id="rId116" Type="http://schemas.openxmlformats.org/officeDocument/2006/relationships/hyperlink" Target="https://www.linkedin.com/learning/managing-temporary-and-contract-employees" TargetMode="External"/><Relationship Id="rId137" Type="http://schemas.openxmlformats.org/officeDocument/2006/relationships/hyperlink" Target="https://www.linkedin.com/learning/leading-change-in-large-distributed-organizations" TargetMode="External"/><Relationship Id="rId158" Type="http://schemas.openxmlformats.org/officeDocument/2006/relationships/hyperlink" Target="https://www.linkedin.com/learning/communicating-in-times-of-change" TargetMode="External"/><Relationship Id="rId20" Type="http://schemas.openxmlformats.org/officeDocument/2006/relationships/hyperlink" Target="https://www.linkedin.com/learning/paths/digital-transformation-for-tech-leaders" TargetMode="External"/><Relationship Id="rId41" Type="http://schemas.openxmlformats.org/officeDocument/2006/relationships/hyperlink" Target="https://www.linkedin.com/learning/paths/master-in-demand-professional-soft-skills" TargetMode="External"/><Relationship Id="rId62" Type="http://schemas.openxmlformats.org/officeDocument/2006/relationships/hyperlink" Target="https://www.linkedin.com/learning/avoiding-new-manager-mistakes" TargetMode="External"/><Relationship Id="rId83" Type="http://schemas.openxmlformats.org/officeDocument/2006/relationships/hyperlink" Target="https://www.linkedin.com/learning/hr-guidelines-everyone-should-know" TargetMode="External"/><Relationship Id="rId179" Type="http://schemas.openxmlformats.org/officeDocument/2006/relationships/hyperlink" Target="https://www.linkedin.com/learning/leading-with-kindness-and-strength" TargetMode="External"/></Relationships>
</file>

<file path=xl/worksheets/_rels/sheet11.xml.rels><?xml version="1.0" encoding="UTF-8" standalone="yes"?>
<Relationships xmlns="http://schemas.openxmlformats.org/package/2006/relationships"><Relationship Id="rId117" Type="http://schemas.openxmlformats.org/officeDocument/2006/relationships/hyperlink" Target="https://www.linkedin.com/learning/finding-your-idea-hook" TargetMode="External"/><Relationship Id="rId21" Type="http://schemas.openxmlformats.org/officeDocument/2006/relationships/hyperlink" Target="https://www.linkedin.com/learning/learning-powerpoint-2016-2" TargetMode="External"/><Relationship Id="rId42" Type="http://schemas.openxmlformats.org/officeDocument/2006/relationships/hyperlink" Target="https://www.linkedin.com/learning/paths/become-a-six-sigma-yellow-belt" TargetMode="External"/><Relationship Id="rId63" Type="http://schemas.openxmlformats.org/officeDocument/2006/relationships/hyperlink" Target="https://www.linkedin.com/learning/how-to-present-and-stay-on-point-2019" TargetMode="External"/><Relationship Id="rId84" Type="http://schemas.openxmlformats.org/officeDocument/2006/relationships/hyperlink" Target="https://www.linkedin.com/learning/understanding-business-2019" TargetMode="External"/><Relationship Id="rId138" Type="http://schemas.openxmlformats.org/officeDocument/2006/relationships/hyperlink" Target="https://www.linkedin.com/learning/presentation-tips-weekly" TargetMode="External"/><Relationship Id="rId159" Type="http://schemas.openxmlformats.org/officeDocument/2006/relationships/hyperlink" Target="https://www.linkedin.com/learning/meeting-facilitation/making-meetings-better" TargetMode="External"/><Relationship Id="rId170" Type="http://schemas.openxmlformats.org/officeDocument/2006/relationships/hyperlink" Target="https://www.linkedin.com/learning/enterprise-agile-changing-your-culture" TargetMode="External"/><Relationship Id="rId191" Type="http://schemas.openxmlformats.org/officeDocument/2006/relationships/hyperlink" Target="https://www.linkedin.com/learning/sustainability-strategies" TargetMode="External"/><Relationship Id="rId107" Type="http://schemas.openxmlformats.org/officeDocument/2006/relationships/hyperlink" Target="https://www.linkedin.com/learning/productivity-prioritizing-at-work" TargetMode="External"/><Relationship Id="rId11" Type="http://schemas.openxmlformats.org/officeDocument/2006/relationships/hyperlink" Target="https://www.linkedin.com/learning/basecamp-project-management-best-practices" TargetMode="External"/><Relationship Id="rId32" Type="http://schemas.openxmlformats.org/officeDocument/2006/relationships/hyperlink" Target="https://www.linkedin.com/learning/paths/getting-started-with-microsoft-365" TargetMode="External"/><Relationship Id="rId53" Type="http://schemas.openxmlformats.org/officeDocument/2006/relationships/hyperlink" Target="https://www.linkedin.com/learning/paths/become-a-business-analyst" TargetMode="External"/><Relationship Id="rId74" Type="http://schemas.openxmlformats.org/officeDocument/2006/relationships/hyperlink" Target="https://www.linkedin.com/learning/simplifying-business-processes" TargetMode="External"/><Relationship Id="rId128" Type="http://schemas.openxmlformats.org/officeDocument/2006/relationships/hyperlink" Target="https://www.linkedin.com/learning/design-thinking-implementing-the-process-revision-2021" TargetMode="External"/><Relationship Id="rId149" Type="http://schemas.openxmlformats.org/officeDocument/2006/relationships/hyperlink" Target="https://www.linkedin.com/learning/implementing-a-vulnerability-management-program" TargetMode="External"/><Relationship Id="rId5" Type="http://schemas.openxmlformats.org/officeDocument/2006/relationships/hyperlink" Target="https://www.linkedin.com/learning/complex-project-tips-and-tricks" TargetMode="External"/><Relationship Id="rId95" Type="http://schemas.openxmlformats.org/officeDocument/2006/relationships/hyperlink" Target="https://www.linkedin.com/learning/5s-workplace-productivity" TargetMode="External"/><Relationship Id="rId160" Type="http://schemas.openxmlformats.org/officeDocument/2006/relationships/hyperlink" Target="https://www.linkedin.com/learning/how-to-successfully-lead-a-pmo" TargetMode="External"/><Relationship Id="rId181" Type="http://schemas.openxmlformats.org/officeDocument/2006/relationships/hyperlink" Target="https://www.linkedin.com/learning/operational-excellence-work-out-and-kaizen-facilitator" TargetMode="External"/><Relationship Id="rId22" Type="http://schemas.openxmlformats.org/officeDocument/2006/relationships/hyperlink" Target="https://www.linkedin.com/learning/paths/getting-started-with-microsoft-powerpoint" TargetMode="External"/><Relationship Id="rId43" Type="http://schemas.openxmlformats.org/officeDocument/2006/relationships/hyperlink" Target="https://www.linkedin.com/learning/public-speaking-foundations-2" TargetMode="External"/><Relationship Id="rId64" Type="http://schemas.openxmlformats.org/officeDocument/2006/relationships/hyperlink" Target="https://www.linkedin.com/learning/skilled-trades-resumes-and-portfolios" TargetMode="External"/><Relationship Id="rId118" Type="http://schemas.openxmlformats.org/officeDocument/2006/relationships/hyperlink" Target="https://www.linkedin.com/learning/product-management-weekly-serial-planning-q1-2018" TargetMode="External"/><Relationship Id="rId139" Type="http://schemas.openxmlformats.org/officeDocument/2006/relationships/hyperlink" Target="https://www.linkedin.com/learning/what-is-scrum" TargetMode="External"/><Relationship Id="rId85" Type="http://schemas.openxmlformats.org/officeDocument/2006/relationships/hyperlink" Target="https://www.linkedin.com/learning/presenting-technical-information-with-stories" TargetMode="External"/><Relationship Id="rId150" Type="http://schemas.openxmlformats.org/officeDocument/2006/relationships/hyperlink" Target="https://www.linkedin.com/learning/data-visualization-storytelling" TargetMode="External"/><Relationship Id="rId171" Type="http://schemas.openxmlformats.org/officeDocument/2006/relationships/hyperlink" Target="https://www.linkedin.com/learning/workshop-facilitation" TargetMode="External"/><Relationship Id="rId192" Type="http://schemas.openxmlformats.org/officeDocument/2006/relationships/hyperlink" Target="https://www.linkedin.com/learning/trello-for-agile-teams" TargetMode="External"/><Relationship Id="rId12" Type="http://schemas.openxmlformats.org/officeDocument/2006/relationships/hyperlink" Target="https://www.linkedin.com/learning/paths/become-a-project-manager" TargetMode="External"/><Relationship Id="rId33" Type="http://schemas.openxmlformats.org/officeDocument/2006/relationships/hyperlink" Target="https://www.linkedin.com/learning/managing-meetings" TargetMode="External"/><Relationship Id="rId108" Type="http://schemas.openxmlformats.org/officeDocument/2006/relationships/hyperlink" Target="https://www.linkedin.com/learning/evaluating-and-evolving-your-business-model" TargetMode="External"/><Relationship Id="rId129" Type="http://schemas.openxmlformats.org/officeDocument/2006/relationships/hyperlink" Target="https://www.linkedin.com/learning/powerpoint-designing-better-slides" TargetMode="External"/><Relationship Id="rId54" Type="http://schemas.openxmlformats.org/officeDocument/2006/relationships/hyperlink" Target="https://www.linkedin.com/learning/lean-foundations" TargetMode="External"/><Relationship Id="rId75" Type="http://schemas.openxmlformats.org/officeDocument/2006/relationships/hyperlink" Target="https://www.linkedin.com/learning/how-to-turn-your-entrepreneur-journey-into-a-successful-keynote-talk" TargetMode="External"/><Relationship Id="rId96" Type="http://schemas.openxmlformats.org/officeDocument/2006/relationships/hyperlink" Target="https://www.linkedin.com/learning/implementing-lean-a-case-study" TargetMode="External"/><Relationship Id="rId140" Type="http://schemas.openxmlformats.org/officeDocument/2006/relationships/hyperlink" Target="https://www.linkedin.com/learning/supply-chain-and-operations-careers-certification-tips-and-tricks/supply-chain-certifications" TargetMode="External"/><Relationship Id="rId161" Type="http://schemas.openxmlformats.org/officeDocument/2006/relationships/hyperlink" Target="https://www.linkedin.com/learning/leading-with-next-generation-kpis-with-michael-schrage" TargetMode="External"/><Relationship Id="rId182" Type="http://schemas.openxmlformats.org/officeDocument/2006/relationships/hyperlink" Target="https://www.linkedin.com/learning/project-management-foundations-procurement-2" TargetMode="External"/><Relationship Id="rId6" Type="http://schemas.openxmlformats.org/officeDocument/2006/relationships/hyperlink" Target="https://www.linkedin.com/learning/paths/develop-your-project-management-skills" TargetMode="External"/><Relationship Id="rId23" Type="http://schemas.openxmlformats.org/officeDocument/2006/relationships/hyperlink" Target="https://www.linkedin.com/learning/becoming-an-agile-coach" TargetMode="External"/><Relationship Id="rId119" Type="http://schemas.openxmlformats.org/officeDocument/2006/relationships/hyperlink" Target="https://www.linkedin.com/learning/quality-management-foundations" TargetMode="External"/><Relationship Id="rId44" Type="http://schemas.openxmlformats.org/officeDocument/2006/relationships/hyperlink" Target="https://www.linkedin.com/learning/project-management-foundations-quality" TargetMode="External"/><Relationship Id="rId65" Type="http://schemas.openxmlformats.org/officeDocument/2006/relationships/hyperlink" Target="https://www.linkedin.com/learning/paths/become-a-program-manager" TargetMode="External"/><Relationship Id="rId86" Type="http://schemas.openxmlformats.org/officeDocument/2006/relationships/hyperlink" Target="https://www.linkedin.com/learning/implementing-lean-a-case-study" TargetMode="External"/><Relationship Id="rId130" Type="http://schemas.openxmlformats.org/officeDocument/2006/relationships/hyperlink" Target="https://www.linkedin.com/learning/transitioning-from-waterfall-to-agile-project-management-2019" TargetMode="External"/><Relationship Id="rId151" Type="http://schemas.openxmlformats.org/officeDocument/2006/relationships/hyperlink" Target="https://www.linkedin.com/learning/emotional-intelligence-for-project-managers-blinkist-summary" TargetMode="External"/><Relationship Id="rId172" Type="http://schemas.openxmlformats.org/officeDocument/2006/relationships/hyperlink" Target="https://www.linkedin.com/learning/exam-tips-certified-associate-in-project-management-capm" TargetMode="External"/><Relationship Id="rId193" Type="http://schemas.openxmlformats.org/officeDocument/2006/relationships/hyperlink" Target="https://www.linkedin.com/learning/evaluating-business-investment-decisions" TargetMode="External"/><Relationship Id="rId13" Type="http://schemas.openxmlformats.org/officeDocument/2006/relationships/hyperlink" Target="https://www.linkedin.com/learning/devops-foundations-accelerating-continuous-delivery-in-the-enterprise" TargetMode="External"/><Relationship Id="rId109" Type="http://schemas.openxmlformats.org/officeDocument/2006/relationships/hyperlink" Target="https://www.linkedin.com/learning/how-to-create-and-run-a-brilliant-remote-workshop-uk" TargetMode="External"/><Relationship Id="rId34" Type="http://schemas.openxmlformats.org/officeDocument/2006/relationships/hyperlink" Target="https://www.linkedin.com/learning/project-management-foundations-communication-3" TargetMode="External"/><Relationship Id="rId55" Type="http://schemas.openxmlformats.org/officeDocument/2006/relationships/hyperlink" Target="https://www.linkedin.com/learning/public-speaking-energise-and-engage-your-audience" TargetMode="External"/><Relationship Id="rId76" Type="http://schemas.openxmlformats.org/officeDocument/2006/relationships/hyperlink" Target="https://www.linkedin.com/learning/software-project-management-foundations" TargetMode="External"/><Relationship Id="rId97" Type="http://schemas.openxmlformats.org/officeDocument/2006/relationships/hyperlink" Target="https://www.linkedin.com/learning/powerpoint-2019-essential-training" TargetMode="External"/><Relationship Id="rId120" Type="http://schemas.openxmlformats.org/officeDocument/2006/relationships/hyperlink" Target="https://www.linkedin.com/learning/presenting-to-senior-executives" TargetMode="External"/><Relationship Id="rId141" Type="http://schemas.openxmlformats.org/officeDocument/2006/relationships/hyperlink" Target="https://www.linkedin.com/learning/powerpoint-8-easy-ways-to-make-your-presentations-look-better,https:/www.linkedin.com/learning/powerpoint-eight-easy-ways-to-make-your-presentation-stand-out" TargetMode="External"/><Relationship Id="rId7" Type="http://schemas.openxmlformats.org/officeDocument/2006/relationships/hyperlink" Target="https://www.linkedin.com/learning/organization-design" TargetMode="External"/><Relationship Id="rId162" Type="http://schemas.openxmlformats.org/officeDocument/2006/relationships/hyperlink" Target="https://www.linkedin.com/learning/powerpoint-2016-audio-and-video-in-depth" TargetMode="External"/><Relationship Id="rId183" Type="http://schemas.openxmlformats.org/officeDocument/2006/relationships/hyperlink" Target="https://www.linkedin.com/learning/product-management-building-a-product-strategy" TargetMode="External"/><Relationship Id="rId2" Type="http://schemas.openxmlformats.org/officeDocument/2006/relationships/hyperlink" Target="https://www.linkedin.com/learning/paths/become-a-business-operations-associate" TargetMode="External"/><Relationship Id="rId29" Type="http://schemas.openxmlformats.org/officeDocument/2006/relationships/hyperlink" Target="https://www.linkedin.com/learning/project-management-foundations-4" TargetMode="External"/><Relationship Id="rId24" Type="http://schemas.openxmlformats.org/officeDocument/2006/relationships/hyperlink" Target="https://www.linkedin.com/learning/paths/become-a-project-scheduler" TargetMode="External"/><Relationship Id="rId40" Type="http://schemas.openxmlformats.org/officeDocument/2006/relationships/hyperlink" Target="https://www.linkedin.com/learning/paths/become-a-government-project-manager" TargetMode="External"/><Relationship Id="rId45" Type="http://schemas.openxmlformats.org/officeDocument/2006/relationships/hyperlink" Target="https://www.linkedin.com/learning/paths/become-a-healthcare-project-manager" TargetMode="External"/><Relationship Id="rId66" Type="http://schemas.openxmlformats.org/officeDocument/2006/relationships/hyperlink" Target="https://www.linkedin.com/learning/operations-management-foundations" TargetMode="External"/><Relationship Id="rId87" Type="http://schemas.openxmlformats.org/officeDocument/2006/relationships/hyperlink" Target="https://www.linkedin.com/learning/lean-deep-dive-job-instruction" TargetMode="External"/><Relationship Id="rId110" Type="http://schemas.openxmlformats.org/officeDocument/2006/relationships/hyperlink" Target="https://www.linkedin.com/learning/leading-remote-projects-and-virtual-teams" TargetMode="External"/><Relationship Id="rId115" Type="http://schemas.openxmlformats.org/officeDocument/2006/relationships/hyperlink" Target="https://www.linkedin.com/learning/17-pr-mistakes-to-avoid" TargetMode="External"/><Relationship Id="rId131" Type="http://schemas.openxmlformats.org/officeDocument/2006/relationships/hyperlink" Target="https://www.linkedin.com/learning/following-the-digital-thread" TargetMode="External"/><Relationship Id="rId136" Type="http://schemas.openxmlformats.org/officeDocument/2006/relationships/hyperlink" Target="https://www.linkedin.com/learning/what-is-a-pmo" TargetMode="External"/><Relationship Id="rId157" Type="http://schemas.openxmlformats.org/officeDocument/2006/relationships/hyperlink" Target="https://www.linkedin.com/learning/lean-technology-strategy-economic-frameworks-for-portfolio-and-product-management" TargetMode="External"/><Relationship Id="rId178" Type="http://schemas.openxmlformats.org/officeDocument/2006/relationships/hyperlink" Target="https://www.linkedin.com/learning/program-management" TargetMode="External"/><Relationship Id="rId61" Type="http://schemas.openxmlformats.org/officeDocument/2006/relationships/hyperlink" Target="https://www.linkedin.com/learning/paths/become-a-technical-program-manager" TargetMode="External"/><Relationship Id="rId82" Type="http://schemas.openxmlformats.org/officeDocument/2006/relationships/hyperlink" Target="https://www.linkedin.com/learning/boosting-your-confidence-public-speaking-and-performance" TargetMode="External"/><Relationship Id="rId152" Type="http://schemas.openxmlformats.org/officeDocument/2006/relationships/hyperlink" Target="https://www.linkedin.com/learning/business-process-improvement" TargetMode="External"/><Relationship Id="rId173" Type="http://schemas.openxmlformats.org/officeDocument/2006/relationships/hyperlink" Target="https://www.linkedin.com/learning/implementing-supply-chain-management/why-supply-chain-management-matters" TargetMode="External"/><Relationship Id="rId194" Type="http://schemas.openxmlformats.org/officeDocument/2006/relationships/hyperlink" Target="https://www.linkedin.com/learning/jira-basic-administration" TargetMode="External"/><Relationship Id="rId199" Type="http://schemas.openxmlformats.org/officeDocument/2006/relationships/hyperlink" Target="https://www.linkedin.com/learning/predictive-analytics-essential-training-for-executives" TargetMode="External"/><Relationship Id="rId203" Type="http://schemas.openxmlformats.org/officeDocument/2006/relationships/hyperlink" Target="https://www.linkedin.com/learning/sap-bi-bw-project-design-and-implementation" TargetMode="External"/><Relationship Id="rId19" Type="http://schemas.openxmlformats.org/officeDocument/2006/relationships/hyperlink" Target="https://www.linkedin.com/learning/microsoft-power-automate-advanced-business-automation" TargetMode="External"/><Relationship Id="rId14" Type="http://schemas.openxmlformats.org/officeDocument/2006/relationships/hyperlink" Target="https://www.linkedin.com/learning/paths/becoming-a-six-sigma-black-belt" TargetMode="External"/><Relationship Id="rId30" Type="http://schemas.openxmlformats.org/officeDocument/2006/relationships/hyperlink" Target="https://www.linkedin.com/learning/paths/become-an-agile-project-manager" TargetMode="External"/><Relationship Id="rId35" Type="http://schemas.openxmlformats.org/officeDocument/2006/relationships/hyperlink" Target="https://www.linkedin.com/learning/paths/becoming-a-six-sigma-green-belt" TargetMode="External"/><Relationship Id="rId56" Type="http://schemas.openxmlformats.org/officeDocument/2006/relationships/hyperlink" Target="https://www.linkedin.com/learning/project-management-preventing-scope-creep-2/deal-with-it" TargetMode="External"/><Relationship Id="rId77" Type="http://schemas.openxmlformats.org/officeDocument/2006/relationships/hyperlink" Target="https://www.linkedin.com/learning/paths/become-a-six-sigma-yellow-belt" TargetMode="External"/><Relationship Id="rId100" Type="http://schemas.openxmlformats.org/officeDocument/2006/relationships/hyperlink" Target="https://www.linkedin.com/learning/powerpoint-essential-training-office-365" TargetMode="External"/><Relationship Id="rId105" Type="http://schemas.openxmlformats.org/officeDocument/2006/relationships/hyperlink" Target="https://www.linkedin.com/learning/agile-software-development-creating-an-agile-culture" TargetMode="External"/><Relationship Id="rId126" Type="http://schemas.openxmlformats.org/officeDocument/2006/relationships/hyperlink" Target="https://www.linkedin.com/learning/master-confident-presentations" TargetMode="External"/><Relationship Id="rId147" Type="http://schemas.openxmlformats.org/officeDocument/2006/relationships/hyperlink" Target="https://www.linkedin.com/learning/creating-and-giving-business-presentations" TargetMode="External"/><Relationship Id="rId168" Type="http://schemas.openxmlformats.org/officeDocument/2006/relationships/hyperlink" Target="https://www.linkedin.com/learning/preparing-for-successful-communication/read-the-room" TargetMode="External"/><Relationship Id="rId8" Type="http://schemas.openxmlformats.org/officeDocument/2006/relationships/hyperlink" Target="https://www.linkedin.com/learning/paths/improve-processes-and-deliver-operational-excellence" TargetMode="External"/><Relationship Id="rId51" Type="http://schemas.openxmlformats.org/officeDocument/2006/relationships/hyperlink" Target="https://www.linkedin.com/learning/own-your-voice-improve-presentations-and-executive-presence" TargetMode="External"/><Relationship Id="rId72" Type="http://schemas.openxmlformats.org/officeDocument/2006/relationships/hyperlink" Target="https://www.linkedin.com/learning/project-management-foundations-teams-2019" TargetMode="External"/><Relationship Id="rId93" Type="http://schemas.openxmlformats.org/officeDocument/2006/relationships/hyperlink" Target="https://www.linkedin.com/learning/implementing-continuous-improvement-a-case-study" TargetMode="External"/><Relationship Id="rId98" Type="http://schemas.openxmlformats.org/officeDocument/2006/relationships/hyperlink" Target="https://www.linkedin.com/learning/time-management-tips-2019" TargetMode="External"/><Relationship Id="rId121" Type="http://schemas.openxmlformats.org/officeDocument/2006/relationships/hyperlink" Target="https://www.linkedin.com/learning/delivering-results-with-a-business-focused-pmo" TargetMode="External"/><Relationship Id="rId142" Type="http://schemas.openxmlformats.org/officeDocument/2006/relationships/hyperlink" Target="https://www.linkedin.com/learning/how-to-create-and-run-a-brilliant-remote-workshop-uk" TargetMode="External"/><Relationship Id="rId163" Type="http://schemas.openxmlformats.org/officeDocument/2006/relationships/hyperlink" Target="https://www.linkedin.com/learning/creating-a-program-strategy" TargetMode="External"/><Relationship Id="rId184" Type="http://schemas.openxmlformats.org/officeDocument/2006/relationships/hyperlink" Target="https://www.linkedin.com/learning/project-management-foundations-risk-3" TargetMode="External"/><Relationship Id="rId189" Type="http://schemas.openxmlformats.org/officeDocument/2006/relationships/hyperlink" Target="https://www.linkedin.com/learning/six-sigma-green-belt" TargetMode="External"/><Relationship Id="rId3" Type="http://schemas.openxmlformats.org/officeDocument/2006/relationships/hyperlink" Target="https://www.linkedin.com/learning/common-meeting-problems" TargetMode="External"/><Relationship Id="rId25" Type="http://schemas.openxmlformats.org/officeDocument/2006/relationships/hyperlink" Target="https://www.linkedin.com/learning/mastering-organizational-chaos" TargetMode="External"/><Relationship Id="rId46" Type="http://schemas.openxmlformats.org/officeDocument/2006/relationships/hyperlink" Target="https://www.linkedin.com/learning/inventory-management-foundations" TargetMode="External"/><Relationship Id="rId67" Type="http://schemas.openxmlformats.org/officeDocument/2006/relationships/hyperlink" Target="https://www.linkedin.com/learning/using-video-to-convey-your-passion-and-personality" TargetMode="External"/><Relationship Id="rId116" Type="http://schemas.openxmlformats.org/officeDocument/2006/relationships/hyperlink" Target="https://www.linkedin.com/learning/data-ethics-managing-your-private-customer-data" TargetMode="External"/><Relationship Id="rId137" Type="http://schemas.openxmlformats.org/officeDocument/2006/relationships/hyperlink" Target="https://www.linkedin.com/learning/operational-excellence-foundations" TargetMode="External"/><Relationship Id="rId158" Type="http://schemas.openxmlformats.org/officeDocument/2006/relationships/hyperlink" Target="https://www.linkedin.com/learning/ux-deep-dive-remote-research" TargetMode="External"/><Relationship Id="rId20" Type="http://schemas.openxmlformats.org/officeDocument/2006/relationships/hyperlink" Target="https://www.linkedin.com/learning/paths/becoming-a-six-sigma-green-belt" TargetMode="External"/><Relationship Id="rId41" Type="http://schemas.openxmlformats.org/officeDocument/2006/relationships/hyperlink" Target="https://www.linkedin.com/learning/devops-foundations" TargetMode="External"/><Relationship Id="rId62" Type="http://schemas.openxmlformats.org/officeDocument/2006/relationships/hyperlink" Target="https://www.linkedin.com/learning/lean-six-sigma-foundations" TargetMode="External"/><Relationship Id="rId83" Type="http://schemas.openxmlformats.org/officeDocument/2006/relationships/hyperlink" Target="https://www.linkedin.com/learning/hoshin-planning" TargetMode="External"/><Relationship Id="rId88" Type="http://schemas.openxmlformats.org/officeDocument/2006/relationships/hyperlink" Target="https://www.linkedin.com/learning/designing-a-presentation-2/designing-a-presentation" TargetMode="External"/><Relationship Id="rId111" Type="http://schemas.openxmlformats.org/officeDocument/2006/relationships/hyperlink" Target="https://www.linkedin.com/learning/revenue-staffing-and-expense-models-explained" TargetMode="External"/><Relationship Id="rId132" Type="http://schemas.openxmlformats.org/officeDocument/2006/relationships/hyperlink" Target="https://www.linkedin.com/learning/shane-snow-on-storytelling" TargetMode="External"/><Relationship Id="rId153" Type="http://schemas.openxmlformats.org/officeDocument/2006/relationships/hyperlink" Target="https://www.linkedin.com/learning/facilitation-skills-for-managers-and-leaders" TargetMode="External"/><Relationship Id="rId174" Type="http://schemas.openxmlformats.org/officeDocument/2006/relationships/hyperlink" Target="https://www.linkedin.com/learning/leading-projects/case-study-a-new-distribution-center" TargetMode="External"/><Relationship Id="rId179" Type="http://schemas.openxmlformats.org/officeDocument/2006/relationships/hyperlink" Target="https://www.linkedin.com/learning/lean-technology-strategy-starting-your-business-transformation-2/deploying-the-improvement-kata" TargetMode="External"/><Relationship Id="rId195" Type="http://schemas.openxmlformats.org/officeDocument/2006/relationships/hyperlink" Target="https://www.linkedin.com/learning/managing-logistics-2019" TargetMode="External"/><Relationship Id="rId190" Type="http://schemas.openxmlformats.org/officeDocument/2006/relationships/hyperlink" Target="https://www.linkedin.com/learning/managing-projects-with-microsoft-teams" TargetMode="External"/><Relationship Id="rId15" Type="http://schemas.openxmlformats.org/officeDocument/2006/relationships/hyperlink" Target="https://www.linkedin.com/learning/establishing-credibility-as-a-speaker" TargetMode="External"/><Relationship Id="rId36" Type="http://schemas.openxmlformats.org/officeDocument/2006/relationships/hyperlink" Target="https://www.linkedin.com/learning/cost-reduction-cut-costs-and-maximize-profits" TargetMode="External"/><Relationship Id="rId57" Type="http://schemas.openxmlformats.org/officeDocument/2006/relationships/hyperlink" Target="https://www.linkedin.com/learning/paths/prepare-for-the-pmi-acp-certification" TargetMode="External"/><Relationship Id="rId106" Type="http://schemas.openxmlformats.org/officeDocument/2006/relationships/hyperlink" Target="https://www.linkedin.com/learning/connecting-with-your-audience-using-video" TargetMode="External"/><Relationship Id="rId127" Type="http://schemas.openxmlformats.org/officeDocument/2006/relationships/hyperlink" Target="https://www.linkedin.com/learning/managing-project-stakeholders-2019" TargetMode="External"/><Relationship Id="rId10" Type="http://schemas.openxmlformats.org/officeDocument/2006/relationships/hyperlink" Target="https://www.linkedin.com/learning/paths/master-microsoft-powerpoint" TargetMode="External"/><Relationship Id="rId31" Type="http://schemas.openxmlformats.org/officeDocument/2006/relationships/hyperlink" Target="https://www.linkedin.com/learning/a3-problem-solving-for-continuous-improvement" TargetMode="External"/><Relationship Id="rId52" Type="http://schemas.openxmlformats.org/officeDocument/2006/relationships/hyperlink" Target="https://www.linkedin.com/learning/project-management-starts-with-laying-good-ground-rules" TargetMode="External"/><Relationship Id="rId73" Type="http://schemas.openxmlformats.org/officeDocument/2006/relationships/hyperlink" Target="https://www.linkedin.com/learning/paths/become-a-portfolio-manager" TargetMode="External"/><Relationship Id="rId78" Type="http://schemas.openxmlformats.org/officeDocument/2006/relationships/hyperlink" Target="https://www.linkedin.com/learning/supply-chain-foundations" TargetMode="External"/><Relationship Id="rId94" Type="http://schemas.openxmlformats.org/officeDocument/2006/relationships/hyperlink" Target="https://www.linkedin.com/learning/powerpoint-2016-essential-training" TargetMode="External"/><Relationship Id="rId99" Type="http://schemas.openxmlformats.org/officeDocument/2006/relationships/hyperlink" Target="https://www.linkedin.com/learning/from-resisting-to-embracing-lean-a-case-study" TargetMode="External"/><Relationship Id="rId101" Type="http://schemas.openxmlformats.org/officeDocument/2006/relationships/hyperlink" Target="https://www.linkedin.com/learning/time-management-tips-teamwork-2019" TargetMode="External"/><Relationship Id="rId122" Type="http://schemas.openxmlformats.org/officeDocument/2006/relationships/hyperlink" Target="https://www.linkedin.com/learning/supply-chain-and-operations-management-weekly-tips" TargetMode="External"/><Relationship Id="rId143" Type="http://schemas.openxmlformats.org/officeDocument/2006/relationships/hyperlink" Target="https://www.linkedin.com/learning/how-to-make-strategic-thinking-a-habit" TargetMode="External"/><Relationship Id="rId148" Type="http://schemas.openxmlformats.org/officeDocument/2006/relationships/hyperlink" Target="https://www.linkedin.com/learning/linkedin-learning-highlights-project-management" TargetMode="External"/><Relationship Id="rId164" Type="http://schemas.openxmlformats.org/officeDocument/2006/relationships/hyperlink" Target="https://www.linkedin.com/learning/building-and-managing-signature-products" TargetMode="External"/><Relationship Id="rId169" Type="http://schemas.openxmlformats.org/officeDocument/2006/relationships/hyperlink" Target="https://www.linkedin.com/learning/blending-project-management-methods" TargetMode="External"/><Relationship Id="rId185" Type="http://schemas.openxmlformats.org/officeDocument/2006/relationships/hyperlink" Target="https://www.linkedin.com/learning/purchasing-foundations" TargetMode="External"/><Relationship Id="rId4" Type="http://schemas.openxmlformats.org/officeDocument/2006/relationships/hyperlink" Target="https://www.linkedin.com/learning/paths/improve-your-presentation-skills" TargetMode="External"/><Relationship Id="rId9" Type="http://schemas.openxmlformats.org/officeDocument/2006/relationships/hyperlink" Target="https://www.linkedin.com/learning/creating-a-meeting-agenda" TargetMode="External"/><Relationship Id="rId180" Type="http://schemas.openxmlformats.org/officeDocument/2006/relationships/hyperlink" Target="https://www.linkedin.com/learning/project-management-foundations-budgets-3" TargetMode="External"/><Relationship Id="rId26" Type="http://schemas.openxmlformats.org/officeDocument/2006/relationships/hyperlink" Target="https://www.linkedin.com/learning/paths/build-a-privacy-program" TargetMode="External"/><Relationship Id="rId47" Type="http://schemas.openxmlformats.org/officeDocument/2006/relationships/hyperlink" Target="https://www.linkedin.com/learning/running-a-design-business-presentation-skills" TargetMode="External"/><Relationship Id="rId68" Type="http://schemas.openxmlformats.org/officeDocument/2006/relationships/hyperlink" Target="https://www.linkedin.com/learning/project-management-foundations-requirements-2019" TargetMode="External"/><Relationship Id="rId89" Type="http://schemas.openxmlformats.org/officeDocument/2006/relationships/hyperlink" Target="https://www.linkedin.com/learning/from-resisting-to-embracing-lean-a-case-study" TargetMode="External"/><Relationship Id="rId112" Type="http://schemas.openxmlformats.org/officeDocument/2006/relationships/hyperlink" Target="https://www.linkedin.com/learning/communicating-with-confidence" TargetMode="External"/><Relationship Id="rId133" Type="http://schemas.openxmlformats.org/officeDocument/2006/relationships/hyperlink" Target="https://www.linkedin.com/learning/construction-industry-safety" TargetMode="External"/><Relationship Id="rId154" Type="http://schemas.openxmlformats.org/officeDocument/2006/relationships/hyperlink" Target="https://www.linkedin.com/learning/gemba-kaizen-a-commonsense-approach-to-continuous-improvement-blinkist-summary" TargetMode="External"/><Relationship Id="rId175" Type="http://schemas.openxmlformats.org/officeDocument/2006/relationships/hyperlink" Target="https://www.linkedin.com/learning/lean-six-sigma-analyze-improve-and-control-tools" TargetMode="External"/><Relationship Id="rId196" Type="http://schemas.openxmlformats.org/officeDocument/2006/relationships/hyperlink" Target="https://www.linkedin.com/learning/skip-level-meetings-2019" TargetMode="External"/><Relationship Id="rId200" Type="http://schemas.openxmlformats.org/officeDocument/2006/relationships/hyperlink" Target="https://www.linkedin.com/learning/sap-ariba-supply-chain-collaboration-overview" TargetMode="External"/><Relationship Id="rId16" Type="http://schemas.openxmlformats.org/officeDocument/2006/relationships/hyperlink" Target="https://www.linkedin.com/learning/paths/visual-communication-for-business-professionals" TargetMode="External"/><Relationship Id="rId37" Type="http://schemas.openxmlformats.org/officeDocument/2006/relationships/hyperlink" Target="https://www.linkedin.com/learning/paths/stay-competitive-using-design-thinking" TargetMode="External"/><Relationship Id="rId58" Type="http://schemas.openxmlformats.org/officeDocument/2006/relationships/hyperlink" Target="https://www.linkedin.com/learning/lean-inventory-management" TargetMode="External"/><Relationship Id="rId79" Type="http://schemas.openxmlformats.org/officeDocument/2006/relationships/hyperlink" Target="https://www.linkedin.com/learning/speaking-confidently-and-effectively" TargetMode="External"/><Relationship Id="rId102" Type="http://schemas.openxmlformats.org/officeDocument/2006/relationships/hyperlink" Target="https://www.linkedin.com/learning/5s-workplace-productivity" TargetMode="External"/><Relationship Id="rId123" Type="http://schemas.openxmlformats.org/officeDocument/2006/relationships/hyperlink" Target="https://www.linkedin.com/learning/how-to-own-a-room" TargetMode="External"/><Relationship Id="rId144" Type="http://schemas.openxmlformats.org/officeDocument/2006/relationships/hyperlink" Target="https://www.linkedin.com/learning/data-driven-presentations-with-excel-and-powerpoint-365-2019" TargetMode="External"/><Relationship Id="rId90" Type="http://schemas.openxmlformats.org/officeDocument/2006/relationships/hyperlink" Target="https://www.linkedin.com/learning/workplace-visualization" TargetMode="External"/><Relationship Id="rId165" Type="http://schemas.openxmlformats.org/officeDocument/2006/relationships/hyperlink" Target="https://www.linkedin.com/learning/powerpoint-2016-tips-and-tricks" TargetMode="External"/><Relationship Id="rId186" Type="http://schemas.openxmlformats.org/officeDocument/2006/relationships/hyperlink" Target="https://www.linkedin.com/learning/project-management-technical-projects" TargetMode="External"/><Relationship Id="rId27" Type="http://schemas.openxmlformats.org/officeDocument/2006/relationships/hyperlink" Target="https://www.linkedin.com/learning/learning-powerpoint-2019" TargetMode="External"/><Relationship Id="rId48" Type="http://schemas.openxmlformats.org/officeDocument/2006/relationships/hyperlink" Target="https://www.linkedin.com/learning/project-management-foundations-small-projects-2" TargetMode="External"/><Relationship Id="rId69" Type="http://schemas.openxmlformats.org/officeDocument/2006/relationships/hyperlink" Target="https://www.linkedin.com/learning/paths/become-a-software-project-manager" TargetMode="External"/><Relationship Id="rId113" Type="http://schemas.openxmlformats.org/officeDocument/2006/relationships/hyperlink" Target="https://www.linkedin.com/learning/project-leadership" TargetMode="External"/><Relationship Id="rId134" Type="http://schemas.openxmlformats.org/officeDocument/2006/relationships/hyperlink" Target="https://www.linkedin.com/learning/supply-chain-basics-for-everyone" TargetMode="External"/><Relationship Id="rId80" Type="http://schemas.openxmlformats.org/officeDocument/2006/relationships/hyperlink" Target="https://www.linkedin.com/learning/project-management-simplified-2019" TargetMode="External"/><Relationship Id="rId155" Type="http://schemas.openxmlformats.org/officeDocument/2006/relationships/hyperlink" Target="https://www.linkedin.com/learning/devops-foundations-lean-and-agile" TargetMode="External"/><Relationship Id="rId176" Type="http://schemas.openxmlformats.org/officeDocument/2006/relationships/hyperlink" Target="https://www.linkedin.com/learning/product-management-building-a-product-roadmap" TargetMode="External"/><Relationship Id="rId197" Type="http://schemas.openxmlformats.org/officeDocument/2006/relationships/hyperlink" Target="https://www.linkedin.com/learning/excel-implementing-balanced-scorecards-with-kpis" TargetMode="External"/><Relationship Id="rId201" Type="http://schemas.openxmlformats.org/officeDocument/2006/relationships/hyperlink" Target="https://www.linkedin.com/learning/ai-in-fintech-essential-training" TargetMode="External"/><Relationship Id="rId17" Type="http://schemas.openxmlformats.org/officeDocument/2006/relationships/hyperlink" Target="https://www.linkedin.com/learning/project-management-for-creative-projects-3" TargetMode="External"/><Relationship Id="rId38" Type="http://schemas.openxmlformats.org/officeDocument/2006/relationships/hyperlink" Target="https://www.linkedin.com/learning/overcoming-your-fear-of-public-speaking-2/become-a-confident-speaker" TargetMode="External"/><Relationship Id="rId59" Type="http://schemas.openxmlformats.org/officeDocument/2006/relationships/hyperlink" Target="https://www.linkedin.com/learning/presentation-tips-for-pitching-to-investors" TargetMode="External"/><Relationship Id="rId103" Type="http://schemas.openxmlformats.org/officeDocument/2006/relationships/hyperlink" Target="https://www.linkedin.com/learning/managing-your-anxiety-while-presenting" TargetMode="External"/><Relationship Id="rId124" Type="http://schemas.openxmlformats.org/officeDocument/2006/relationships/hyperlink" Target="https://www.linkedin.com/learning/project-management-solving-common-project-problems" TargetMode="External"/><Relationship Id="rId70" Type="http://schemas.openxmlformats.org/officeDocument/2006/relationships/hyperlink" Target="https://www.linkedin.com/learning/process-improvement-foundations" TargetMode="External"/><Relationship Id="rId91" Type="http://schemas.openxmlformats.org/officeDocument/2006/relationships/hyperlink" Target="https://www.linkedin.com/learning/leading-productive-meetings-3" TargetMode="External"/><Relationship Id="rId145" Type="http://schemas.openxmlformats.org/officeDocument/2006/relationships/hyperlink" Target="https://www.linkedin.com/learning/comparing-agile-vs-waterfall-project-management" TargetMode="External"/><Relationship Id="rId166" Type="http://schemas.openxmlformats.org/officeDocument/2006/relationships/hyperlink" Target="https://www.linkedin.com/learning/adaptive-project-leadership/be-an-adaptive-leader" TargetMode="External"/><Relationship Id="rId187" Type="http://schemas.openxmlformats.org/officeDocument/2006/relationships/hyperlink" Target="https://www.linkedin.com/learning/six-sigma-black-belt" TargetMode="External"/><Relationship Id="rId1" Type="http://schemas.openxmlformats.org/officeDocument/2006/relationships/hyperlink" Target="https://www.linkedin.com/learning/creating-a-product-centric-organization" TargetMode="External"/><Relationship Id="rId28" Type="http://schemas.openxmlformats.org/officeDocument/2006/relationships/hyperlink" Target="https://www.linkedin.com/learning/paths/visual-communication-for-business-professionals" TargetMode="External"/><Relationship Id="rId49" Type="http://schemas.openxmlformats.org/officeDocument/2006/relationships/hyperlink" Target="https://www.linkedin.com/learning/paths/becoming-a-six-sigma-black-belt" TargetMode="External"/><Relationship Id="rId114" Type="http://schemas.openxmlformats.org/officeDocument/2006/relationships/hyperlink" Target="https://www.linkedin.com/learning/pricing-strategy-explained" TargetMode="External"/><Relationship Id="rId60" Type="http://schemas.openxmlformats.org/officeDocument/2006/relationships/hyperlink" Target="https://www.linkedin.com/learning/project-management-foundations-ethics-2019" TargetMode="External"/><Relationship Id="rId81" Type="http://schemas.openxmlformats.org/officeDocument/2006/relationships/hyperlink" Target="https://www.linkedin.com/learning/introducing-ai-to-your-organization" TargetMode="External"/><Relationship Id="rId135" Type="http://schemas.openxmlformats.org/officeDocument/2006/relationships/hyperlink" Target="https://www.linkedin.com/learning/delivery-tips-for-speaking-in-public" TargetMode="External"/><Relationship Id="rId156" Type="http://schemas.openxmlformats.org/officeDocument/2006/relationships/hyperlink" Target="https://www.linkedin.com/learning/making-great-sales-presentations" TargetMode="External"/><Relationship Id="rId177" Type="http://schemas.openxmlformats.org/officeDocument/2006/relationships/hyperlink" Target="https://www.linkedin.com/learning/lean-six-sigma-define-and-measure-tools" TargetMode="External"/><Relationship Id="rId198" Type="http://schemas.openxmlformats.org/officeDocument/2006/relationships/hyperlink" Target="https://www.linkedin.com/learning/agile-software-development-clean-coding-practices" TargetMode="External"/><Relationship Id="rId202" Type="http://schemas.openxmlformats.org/officeDocument/2006/relationships/hyperlink" Target="https://www.linkedin.com/learning/introduction-to-sap-bi-bw" TargetMode="External"/><Relationship Id="rId18" Type="http://schemas.openxmlformats.org/officeDocument/2006/relationships/hyperlink" Target="https://www.linkedin.com/learning/paths/become-a-project-coordinator" TargetMode="External"/><Relationship Id="rId39" Type="http://schemas.openxmlformats.org/officeDocument/2006/relationships/hyperlink" Target="https://www.linkedin.com/learning/project-management-foundations-integration-2" TargetMode="External"/><Relationship Id="rId50" Type="http://schemas.openxmlformats.org/officeDocument/2006/relationships/hyperlink" Target="https://www.linkedin.com/learning/job-skills-supply-chain-and-operations" TargetMode="External"/><Relationship Id="rId104" Type="http://schemas.openxmlformats.org/officeDocument/2006/relationships/hyperlink" Target="https://www.linkedin.com/learning/introducing-the-pmbok-guide-seventh-edition" TargetMode="External"/><Relationship Id="rId125" Type="http://schemas.openxmlformats.org/officeDocument/2006/relationships/hyperlink" Target="https://www.linkedin.com/learning/how-blockchains-will-change-business" TargetMode="External"/><Relationship Id="rId146" Type="http://schemas.openxmlformats.org/officeDocument/2006/relationships/hyperlink" Target="https://www.linkedin.com/learning/design-thinking-understanding-the-process-revision-2021" TargetMode="External"/><Relationship Id="rId167" Type="http://schemas.openxmlformats.org/officeDocument/2006/relationships/hyperlink" Target="https://www.linkedin.com/learning/excel-supply-chain-analysis-solving-transportation-problems" TargetMode="External"/><Relationship Id="rId188" Type="http://schemas.openxmlformats.org/officeDocument/2006/relationships/hyperlink" Target="https://www.linkedin.com/learning/the-top-pmo-challenges" TargetMode="External"/><Relationship Id="rId71" Type="http://schemas.openxmlformats.org/officeDocument/2006/relationships/hyperlink" Target="https://www.linkedin.com/learning/how-to-project-vocal-confidence" TargetMode="External"/><Relationship Id="rId92" Type="http://schemas.openxmlformats.org/officeDocument/2006/relationships/hyperlink" Target="https://www.linkedin.com/learning/project-management-tips" TargetMode="External"/></Relationships>
</file>

<file path=xl/worksheets/_rels/sheet12.xml.rels><?xml version="1.0" encoding="UTF-8" standalone="yes"?>
<Relationships xmlns="http://schemas.openxmlformats.org/package/2006/relationships"><Relationship Id="rId117" Type="http://schemas.openxmlformats.org/officeDocument/2006/relationships/hyperlink" Target="https://www.linkedin.com/learning/strategy-a-history-getabstract-summary" TargetMode="External"/><Relationship Id="rId21" Type="http://schemas.openxmlformats.org/officeDocument/2006/relationships/hyperlink" Target="https://www.linkedin.com/learning/global-strategy/welcome" TargetMode="External"/><Relationship Id="rId42" Type="http://schemas.openxmlformats.org/officeDocument/2006/relationships/hyperlink" Target="https://www.linkedin.com/learning/paths/digital-transformation-for-leaders" TargetMode="External"/><Relationship Id="rId63" Type="http://schemas.openxmlformats.org/officeDocument/2006/relationships/hyperlink" Target="https://www.linkedin.com/learning/learning-logo-design,https:/www.linkedin.com/learning/learning-logo-design-revision" TargetMode="External"/><Relationship Id="rId84" Type="http://schemas.openxmlformats.org/officeDocument/2006/relationships/hyperlink" Target="https://www.linkedin.com/learning/market-trends-and-how-to-identify-them" TargetMode="External"/><Relationship Id="rId138" Type="http://schemas.openxmlformats.org/officeDocument/2006/relationships/hyperlink" Target="https://www.linkedin.com/learning/content-marketing-roi,https:/www.linkedin.com/learning/content-marketing-roi-2,https:/www.linkedin.com/learning/content-marketing-roi-revision-2020" TargetMode="External"/><Relationship Id="rId159" Type="http://schemas.openxmlformats.org/officeDocument/2006/relationships/hyperlink" Target="https://www.linkedin.com/learning/executive-decision-making/planning-for-long-range-impacts" TargetMode="External"/><Relationship Id="rId170" Type="http://schemas.openxmlformats.org/officeDocument/2006/relationships/hyperlink" Target="https://www.linkedin.com/learning/persuasive-selling" TargetMode="External"/><Relationship Id="rId191" Type="http://schemas.openxmlformats.org/officeDocument/2006/relationships/hyperlink" Target="https://www.linkedin.com/learning/sales-closing-a-complex-sale" TargetMode="External"/><Relationship Id="rId205" Type="http://schemas.openxmlformats.org/officeDocument/2006/relationships/hyperlink" Target="https://www.linkedin.com/learning/sales-enablement" TargetMode="External"/><Relationship Id="rId107" Type="http://schemas.openxmlformats.org/officeDocument/2006/relationships/hyperlink" Target="https://www.linkedin.com/learning/cold-calling-business-leaders" TargetMode="External"/><Relationship Id="rId11" Type="http://schemas.openxmlformats.org/officeDocument/2006/relationships/hyperlink" Target="https://www.linkedin.com/learning/creating-a-high-performance-culture/components-of-high-performing-cultures" TargetMode="External"/><Relationship Id="rId32" Type="http://schemas.openxmlformats.org/officeDocument/2006/relationships/hyperlink" Target="https://www.linkedin.com/learning/paths/become-a-business-analyst" TargetMode="External"/><Relationship Id="rId53" Type="http://schemas.openxmlformats.org/officeDocument/2006/relationships/hyperlink" Target="https://www.linkedin.com/learning/managing-high-potentials" TargetMode="External"/><Relationship Id="rId74" Type="http://schemas.openxmlformats.org/officeDocument/2006/relationships/hyperlink" Target="https://www.linkedin.com/learning/learn-linkedin-sales-navigator-2020" TargetMode="External"/><Relationship Id="rId128" Type="http://schemas.openxmlformats.org/officeDocument/2006/relationships/hyperlink" Target="https://www.linkedin.com/learning/influencing-others" TargetMode="External"/><Relationship Id="rId149" Type="http://schemas.openxmlformats.org/officeDocument/2006/relationships/hyperlink" Target="https://www.linkedin.com/learning/making-great-sales-presentations" TargetMode="External"/><Relationship Id="rId5" Type="http://schemas.openxmlformats.org/officeDocument/2006/relationships/hyperlink" Target="https://www.linkedin.com/learning/employee-engagement" TargetMode="External"/><Relationship Id="rId95" Type="http://schemas.openxmlformats.org/officeDocument/2006/relationships/hyperlink" Target="https://www.linkedin.com/learning/sales-fundamentals" TargetMode="External"/><Relationship Id="rId160" Type="http://schemas.openxmlformats.org/officeDocument/2006/relationships/hyperlink" Target="https://www.linkedin.com/learning/coaching-employees-through-difficult-situations" TargetMode="External"/><Relationship Id="rId181" Type="http://schemas.openxmlformats.org/officeDocument/2006/relationships/hyperlink" Target="https://www.linkedin.com/learning/persuasive-coaching" TargetMode="External"/><Relationship Id="rId22" Type="http://schemas.openxmlformats.org/officeDocument/2006/relationships/hyperlink" Target="https://www.linkedin.com/learning/paths/become-a-content-strategist-2" TargetMode="External"/><Relationship Id="rId43" Type="http://schemas.openxmlformats.org/officeDocument/2006/relationships/hyperlink" Target="https://www.linkedin.com/learning/setting-team-and-employee-goals" TargetMode="External"/><Relationship Id="rId64" Type="http://schemas.openxmlformats.org/officeDocument/2006/relationships/hyperlink" Target="https://www.linkedin.com/learning/executive-coaching" TargetMode="External"/><Relationship Id="rId118" Type="http://schemas.openxmlformats.org/officeDocument/2006/relationships/hyperlink" Target="https://www.linkedin.com/learning/coaching-and-developing-employees-4/become-a-great-coach-and-leader" TargetMode="External"/><Relationship Id="rId139" Type="http://schemas.openxmlformats.org/officeDocument/2006/relationships/hyperlink" Target="https://www.linkedin.com/learning/how-to-succeed-in-a-case-study-interview" TargetMode="External"/><Relationship Id="rId85" Type="http://schemas.openxmlformats.org/officeDocument/2006/relationships/hyperlink" Target="https://www.linkedin.com/learning/rules-for-rising-leaders" TargetMode="External"/><Relationship Id="rId150" Type="http://schemas.openxmlformats.org/officeDocument/2006/relationships/hyperlink" Target="https://www.linkedin.com/learning/business-development-foundations" TargetMode="External"/><Relationship Id="rId171" Type="http://schemas.openxmlformats.org/officeDocument/2006/relationships/hyperlink" Target="https://www.linkedin.com/learning/setting-business-unit-goals/welcome" TargetMode="External"/><Relationship Id="rId192" Type="http://schemas.openxmlformats.org/officeDocument/2006/relationships/hyperlink" Target="https://www.linkedin.com/learning/azure-for-architects-design-a-migration-strategy" TargetMode="External"/><Relationship Id="rId206" Type="http://schemas.openxmlformats.org/officeDocument/2006/relationships/hyperlink" Target="https://www.linkedin.com/learning/empathy-for-sales-professionals" TargetMode="External"/><Relationship Id="rId12" Type="http://schemas.openxmlformats.org/officeDocument/2006/relationships/hyperlink" Target="https://www.linkedin.com/learning/paths/become-an-ld-professional" TargetMode="External"/><Relationship Id="rId33" Type="http://schemas.openxmlformats.org/officeDocument/2006/relationships/hyperlink" Target="https://www.linkedin.com/learning/redefining-workplace-learning-analytics" TargetMode="External"/><Relationship Id="rId108" Type="http://schemas.openxmlformats.org/officeDocument/2006/relationships/hyperlink" Target="https://www.linkedin.com/learning/the-45-minute-business-plan" TargetMode="External"/><Relationship Id="rId129" Type="http://schemas.openxmlformats.org/officeDocument/2006/relationships/hyperlink" Target="https://www.linkedin.com/learning/technology-ethics" TargetMode="External"/><Relationship Id="rId54" Type="http://schemas.openxmlformats.org/officeDocument/2006/relationships/hyperlink" Target="https://www.linkedin.com/learning/social-selling-foundations-2019" TargetMode="External"/><Relationship Id="rId75" Type="http://schemas.openxmlformats.org/officeDocument/2006/relationships/hyperlink" Target="https://www.linkedin.com/learning/the-new-age-of-risk-management-strategy-for-business" TargetMode="External"/><Relationship Id="rId96" Type="http://schemas.openxmlformats.org/officeDocument/2006/relationships/hyperlink" Target="https://www.linkedin.com/learning/evaluating-and-evolving-your-business-model" TargetMode="External"/><Relationship Id="rId140" Type="http://schemas.openxmlformats.org/officeDocument/2006/relationships/hyperlink" Target="https://www.linkedin.com/learning/flip-the-script-a-toolkit-for-sellers-and-negotiators-blinkist-summary" TargetMode="External"/><Relationship Id="rId161" Type="http://schemas.openxmlformats.org/officeDocument/2006/relationships/hyperlink" Target="https://www.linkedin.com/learning/measure-salesforce-effectiveness" TargetMode="External"/><Relationship Id="rId182" Type="http://schemas.openxmlformats.org/officeDocument/2006/relationships/hyperlink" Target="https://www.linkedin.com/learning/sales-performance-measurement-and-reporting" TargetMode="External"/><Relationship Id="rId6" Type="http://schemas.openxmlformats.org/officeDocument/2006/relationships/hyperlink" Target="https://www.linkedin.com/learning/paths/develop-motivate-and-retain-employees" TargetMode="External"/><Relationship Id="rId23" Type="http://schemas.openxmlformats.org/officeDocument/2006/relationships/hyperlink" Target="https://www.linkedin.com/learning/succession-planning" TargetMode="External"/><Relationship Id="rId119" Type="http://schemas.openxmlformats.org/officeDocument/2006/relationships/hyperlink" Target="https://www.linkedin.com/learning/customer-retention/welcome" TargetMode="External"/><Relationship Id="rId44" Type="http://schemas.openxmlformats.org/officeDocument/2006/relationships/hyperlink" Target="https://www.linkedin.com/learning/networking-for-sales-professionals" TargetMode="External"/><Relationship Id="rId65" Type="http://schemas.openxmlformats.org/officeDocument/2006/relationships/hyperlink" Target="https://www.linkedin.com/learning/avoiding-common-pitfalls-in-customer-success-management" TargetMode="External"/><Relationship Id="rId86" Type="http://schemas.openxmlformats.org/officeDocument/2006/relationships/hyperlink" Target="https://www.linkedin.com/learning/engagement-evaluation-best-practices-for-customer-success-management" TargetMode="External"/><Relationship Id="rId130" Type="http://schemas.openxmlformats.org/officeDocument/2006/relationships/hyperlink" Target="https://www.linkedin.com/learning/the-purpose-effect-getabstract-summary" TargetMode="External"/><Relationship Id="rId151" Type="http://schemas.openxmlformats.org/officeDocument/2006/relationships/hyperlink" Target="https://www.linkedin.com/learning/coaching-for-results" TargetMode="External"/><Relationship Id="rId172" Type="http://schemas.openxmlformats.org/officeDocument/2006/relationships/hyperlink" Target="https://www.linkedin.com/learning/enhancing-team-innovation" TargetMode="External"/><Relationship Id="rId193" Type="http://schemas.openxmlformats.org/officeDocument/2006/relationships/hyperlink" Target="https://www.linkedin.com/learning/human-centered-leadership" TargetMode="External"/><Relationship Id="rId207" Type="http://schemas.openxmlformats.org/officeDocument/2006/relationships/hyperlink" Target="https://www.linkedin.com/learning/asking-great-sales-questions-5" TargetMode="External"/><Relationship Id="rId13" Type="http://schemas.openxmlformats.org/officeDocument/2006/relationships/hyperlink" Target="https://www.linkedin.com/learning/the-persuasion-code-the-neuroscience-of-sales" TargetMode="External"/><Relationship Id="rId109" Type="http://schemas.openxmlformats.org/officeDocument/2006/relationships/hyperlink" Target="https://www.linkedin.com/learning/rewarding-employee-performance" TargetMode="External"/><Relationship Id="rId34" Type="http://schemas.openxmlformats.org/officeDocument/2006/relationships/hyperlink" Target="https://www.linkedin.com/learning/paths/diversity-inclusion-and-belonging-for-leaders-and-managers" TargetMode="External"/><Relationship Id="rId55" Type="http://schemas.openxmlformats.org/officeDocument/2006/relationships/hyperlink" Target="https://www.linkedin.com/learning/boosting-your-team-s-productivity/next-steps" TargetMode="External"/><Relationship Id="rId76" Type="http://schemas.openxmlformats.org/officeDocument/2006/relationships/hyperlink" Target="https://www.linkedin.com/learning/lean-technology-strategy-building-high-performing-teams" TargetMode="External"/><Relationship Id="rId97" Type="http://schemas.openxmlformats.org/officeDocument/2006/relationships/hyperlink" Target="https://www.linkedin.com/learning/recognizing-and-rewarding-your-workers" TargetMode="External"/><Relationship Id="rId120" Type="http://schemas.openxmlformats.org/officeDocument/2006/relationships/hyperlink" Target="https://www.linkedin.com/learning/how-to-make-strategic-thinking-a-habit" TargetMode="External"/><Relationship Id="rId141" Type="http://schemas.openxmlformats.org/officeDocument/2006/relationships/hyperlink" Target="https://www.linkedin.com/learning/corporate-finance-strategies-for-business-leaders" TargetMode="External"/><Relationship Id="rId7" Type="http://schemas.openxmlformats.org/officeDocument/2006/relationships/hyperlink" Target="https://www.linkedin.com/learning/salesforce-for-sales-managers" TargetMode="External"/><Relationship Id="rId162" Type="http://schemas.openxmlformats.org/officeDocument/2006/relationships/hyperlink" Target="https://www.linkedin.com/learning/executive-leadership" TargetMode="External"/><Relationship Id="rId183" Type="http://schemas.openxmlformats.org/officeDocument/2006/relationships/hyperlink" Target="https://www.linkedin.com/learning/leading-from-the-middle" TargetMode="External"/><Relationship Id="rId24" Type="http://schemas.openxmlformats.org/officeDocument/2006/relationships/hyperlink" Target="https://www.linkedin.com/learning/paths/finding-and-retaining-talent" TargetMode="External"/><Relationship Id="rId40" Type="http://schemas.openxmlformats.org/officeDocument/2006/relationships/hyperlink" Target="https://www.linkedin.com/learning/sales-management-foundations" TargetMode="External"/><Relationship Id="rId45" Type="http://schemas.openxmlformats.org/officeDocument/2006/relationships/hyperlink" Target="https://www.linkedin.com/learning/digital-strategy" TargetMode="External"/><Relationship Id="rId66" Type="http://schemas.openxmlformats.org/officeDocument/2006/relationships/hyperlink" Target="https://www.linkedin.com/learning/aaron-dignan-on-transformational-change" TargetMode="External"/><Relationship Id="rId87" Type="http://schemas.openxmlformats.org/officeDocument/2006/relationships/hyperlink" Target="https://www.linkedin.com/learning/creating-a-unique-competitive-advantage" TargetMode="External"/><Relationship Id="rId110" Type="http://schemas.openxmlformats.org/officeDocument/2006/relationships/hyperlink" Target="https://www.linkedin.com/learning/how-to-tell-stories-that-win-market-share" TargetMode="External"/><Relationship Id="rId115" Type="http://schemas.openxmlformats.org/officeDocument/2006/relationships/hyperlink" Target="https://www.linkedin.com/learning/motivating-and-engaging-employees-2/welcome" TargetMode="External"/><Relationship Id="rId131" Type="http://schemas.openxmlformats.org/officeDocument/2006/relationships/hyperlink" Target="https://www.linkedin.com/learning/running-a-design-business-writing-and-pricing-winning-proposals" TargetMode="External"/><Relationship Id="rId136" Type="http://schemas.openxmlformats.org/officeDocument/2006/relationships/hyperlink" Target="https://www.linkedin.com/learning/all-you-have-to-do-is-ask-how-to-ask-for-help-when-you-need-it" TargetMode="External"/><Relationship Id="rId157" Type="http://schemas.openxmlformats.org/officeDocument/2006/relationships/hyperlink" Target="https://www.linkedin.com/learning/developing-adaptable-managers" TargetMode="External"/><Relationship Id="rId178" Type="http://schemas.openxmlformats.org/officeDocument/2006/relationships/hyperlink" Target="https://www.linkedin.com/learning/managing-employee-performance-problems-3" TargetMode="External"/><Relationship Id="rId61" Type="http://schemas.openxmlformats.org/officeDocument/2006/relationships/hyperlink" Target="https://www.linkedin.com/learning/a-beginner-s-guide-to-finding-your-calling" TargetMode="External"/><Relationship Id="rId82" Type="http://schemas.openxmlformats.org/officeDocument/2006/relationships/hyperlink" Target="https://www.linkedin.com/learning/women-transforming-tech-breaking-in-and-staying-in-the-industry" TargetMode="External"/><Relationship Id="rId152" Type="http://schemas.openxmlformats.org/officeDocument/2006/relationships/hyperlink" Target="https://www.linkedin.com/learning/managing-your-sales-territory" TargetMode="External"/><Relationship Id="rId173" Type="http://schemas.openxmlformats.org/officeDocument/2006/relationships/hyperlink" Target="https://www.linkedin.com/learning/sales-forecasting" TargetMode="External"/><Relationship Id="rId194" Type="http://schemas.openxmlformats.org/officeDocument/2006/relationships/hyperlink" Target="https://www.linkedin.com/learning/sales-pipeline-management" TargetMode="External"/><Relationship Id="rId199" Type="http://schemas.openxmlformats.org/officeDocument/2006/relationships/hyperlink" Target="https://www.linkedin.com/learning/social-selling-benchmarks-and-scorecard" TargetMode="External"/><Relationship Id="rId203" Type="http://schemas.openxmlformats.org/officeDocument/2006/relationships/hyperlink" Target="https://www.linkedin.com/learning/sales-handling-objections" TargetMode="External"/><Relationship Id="rId208" Type="http://schemas.openxmlformats.org/officeDocument/2006/relationships/hyperlink" Target="https://www.linkedin.com/learning/selling-with-empathy-during-uncertain-times" TargetMode="External"/><Relationship Id="rId19" Type="http://schemas.openxmlformats.org/officeDocument/2006/relationships/hyperlink" Target="https://www.linkedin.com/learning/sales-closing-strategies" TargetMode="External"/><Relationship Id="rId14" Type="http://schemas.openxmlformats.org/officeDocument/2006/relationships/hyperlink" Target="https://www.linkedin.com/learning/paths/become-a-sales-representative" TargetMode="External"/><Relationship Id="rId30" Type="http://schemas.openxmlformats.org/officeDocument/2006/relationships/hyperlink" Target="https://www.linkedin.com/learning/selling-to-the-c-suite" TargetMode="External"/><Relationship Id="rId35" Type="http://schemas.openxmlformats.org/officeDocument/2006/relationships/hyperlink" Target="https://www.linkedin.com/learning/sales-foundations" TargetMode="External"/><Relationship Id="rId56" Type="http://schemas.openxmlformats.org/officeDocument/2006/relationships/hyperlink" Target="https://www.linkedin.com/learning/building-a-competitive-matrix" TargetMode="External"/><Relationship Id="rId77" Type="http://schemas.openxmlformats.org/officeDocument/2006/relationships/hyperlink" Target="https://www.linkedin.com/learning/cold-calling-mastery" TargetMode="External"/><Relationship Id="rId100" Type="http://schemas.openxmlformats.org/officeDocument/2006/relationships/hyperlink" Target="https://www.linkedin.com/learning/increase-visibility-to-advance-your-career" TargetMode="External"/><Relationship Id="rId105" Type="http://schemas.openxmlformats.org/officeDocument/2006/relationships/hyperlink" Target="https://www.linkedin.com/learning/safeguarding-ai" TargetMode="External"/><Relationship Id="rId126" Type="http://schemas.openxmlformats.org/officeDocument/2006/relationships/hyperlink" Target="https://www.linkedin.com/learning/the-secret-what-great-leaders-know-and-do-getabstract-summary" TargetMode="External"/><Relationship Id="rId147" Type="http://schemas.openxmlformats.org/officeDocument/2006/relationships/hyperlink" Target="https://www.linkedin.com/learning/assessing-and-improving-strategic-plans" TargetMode="External"/><Relationship Id="rId168" Type="http://schemas.openxmlformats.org/officeDocument/2006/relationships/hyperlink" Target="https://www.linkedin.com/learning/organizational-learning-and-development" TargetMode="External"/><Relationship Id="rId8" Type="http://schemas.openxmlformats.org/officeDocument/2006/relationships/hyperlink" Target="https://www.linkedin.com/learning/paths/become-a-sales-manager" TargetMode="External"/><Relationship Id="rId51" Type="http://schemas.openxmlformats.org/officeDocument/2006/relationships/hyperlink" Target="https://www.linkedin.com/learning/sales-discovery" TargetMode="External"/><Relationship Id="rId72" Type="http://schemas.openxmlformats.org/officeDocument/2006/relationships/hyperlink" Target="https://www.linkedin.com/learning/strategic-thinking" TargetMode="External"/><Relationship Id="rId93" Type="http://schemas.openxmlformats.org/officeDocument/2006/relationships/hyperlink" Target="https://www.linkedin.com/learning/introduction-to-business-analytics" TargetMode="External"/><Relationship Id="rId98" Type="http://schemas.openxmlformats.org/officeDocument/2006/relationships/hyperlink" Target="https://www.linkedin.com/learning/cold-calling-sales-objections-and-how-to-overcome-them" TargetMode="External"/><Relationship Id="rId121" Type="http://schemas.openxmlformats.org/officeDocument/2006/relationships/hyperlink" Target="https://www.linkedin.com/learning/delivering-employee-feedback-4" TargetMode="External"/><Relationship Id="rId142" Type="http://schemas.openxmlformats.org/officeDocument/2006/relationships/hyperlink" Target="https://www.linkedin.com/learning/getting-executive-buy-in-and-support-for-your-l-d-program,https:/www.linkedin.com/learning/the-future-of-workplace-learning" TargetMode="External"/><Relationship Id="rId163" Type="http://schemas.openxmlformats.org/officeDocument/2006/relationships/hyperlink" Target="https://www.linkedin.com/learning/creating-the-conditions-for-others-to-thrive/welcome-2?u=104" TargetMode="External"/><Relationship Id="rId184" Type="http://schemas.openxmlformats.org/officeDocument/2006/relationships/hyperlink" Target="https://www.linkedin.com/learning/building-a-coaching-culture-improving-performance-through-timely-feedback" TargetMode="External"/><Relationship Id="rId189" Type="http://schemas.openxmlformats.org/officeDocument/2006/relationships/hyperlink" Target="https://www.linkedin.com/learning/communicating-an-enterprise-wide-transformation" TargetMode="External"/><Relationship Id="rId3" Type="http://schemas.openxmlformats.org/officeDocument/2006/relationships/hyperlink" Target="https://www.linkedin.com/learning/business-development-strategic-planning" TargetMode="External"/><Relationship Id="rId25" Type="http://schemas.openxmlformats.org/officeDocument/2006/relationships/hyperlink" Target="https://www.linkedin.com/learning/advanced-persuasive-selling-persuading-different-personality-types" TargetMode="External"/><Relationship Id="rId46" Type="http://schemas.openxmlformats.org/officeDocument/2006/relationships/hyperlink" Target="https://www.linkedin.com/learning/paths/become-a-corporate-financial-planning-analyst" TargetMode="External"/><Relationship Id="rId67" Type="http://schemas.openxmlformats.org/officeDocument/2006/relationships/hyperlink" Target="https://www.linkedin.com/learning/ram-charan-on-coaching-high-potentials" TargetMode="External"/><Relationship Id="rId116" Type="http://schemas.openxmlformats.org/officeDocument/2006/relationships/hyperlink" Target="https://www.linkedin.com/learning/transitioning-to-management-for-salespeople" TargetMode="External"/><Relationship Id="rId137" Type="http://schemas.openxmlformats.org/officeDocument/2006/relationships/hyperlink" Target="https://www.linkedin.com/learning/sales-management-simplified-blinkist-summary" TargetMode="External"/><Relationship Id="rId158" Type="http://schemas.openxmlformats.org/officeDocument/2006/relationships/hyperlink" Target="https://www.linkedin.com/learning/identify-sales-growth-opportunities/welcome" TargetMode="External"/><Relationship Id="rId20" Type="http://schemas.openxmlformats.org/officeDocument/2006/relationships/hyperlink" Target="https://www.linkedin.com/learning/paths/succeeding-in-sales-during-times-of-volatility" TargetMode="External"/><Relationship Id="rId41" Type="http://schemas.openxmlformats.org/officeDocument/2006/relationships/hyperlink" Target="https://www.linkedin.com/learning/strategies-for-emerging-markets" TargetMode="External"/><Relationship Id="rId62" Type="http://schemas.openxmlformats.org/officeDocument/2006/relationships/hyperlink" Target="https://www.linkedin.com/learning/value-realization-best-practices-for-customer-success-management" TargetMode="External"/><Relationship Id="rId83" Type="http://schemas.openxmlformats.org/officeDocument/2006/relationships/hyperlink" Target="https://www.linkedin.com/learning/engagement-preparation-best-practices-for-customer-success-management" TargetMode="External"/><Relationship Id="rId88" Type="http://schemas.openxmlformats.org/officeDocument/2006/relationships/hyperlink" Target="https://www.linkedin.com/learning/make-the-move-from-individual-contributor-to-manager-2019" TargetMode="External"/><Relationship Id="rId111" Type="http://schemas.openxmlformats.org/officeDocument/2006/relationships/hyperlink" Target="https://www.linkedin.com/learning/strategic-partnerships" TargetMode="External"/><Relationship Id="rId132" Type="http://schemas.openxmlformats.org/officeDocument/2006/relationships/hyperlink" Target="https://www.linkedin.com/learning/following-the-digital-thread" TargetMode="External"/><Relationship Id="rId153" Type="http://schemas.openxmlformats.org/officeDocument/2006/relationships/hyperlink" Target="https://www.linkedin.com/learning/designing-growth-strategies/the-growth-imperative" TargetMode="External"/><Relationship Id="rId174" Type="http://schemas.openxmlformats.org/officeDocument/2006/relationships/hyperlink" Target="https://www.linkedin.com/learning/strategic-human-resources/what-you-should-know-before-watching-this-course" TargetMode="External"/><Relationship Id="rId179" Type="http://schemas.openxmlformats.org/officeDocument/2006/relationships/hyperlink" Target="https://www.linkedin.com/learning/sales-channel-management" TargetMode="External"/><Relationship Id="rId195" Type="http://schemas.openxmlformats.org/officeDocument/2006/relationships/hyperlink" Target="https://www.linkedin.com/learning/ethical-hacking-cryptography" TargetMode="External"/><Relationship Id="rId190" Type="http://schemas.openxmlformats.org/officeDocument/2006/relationships/hyperlink" Target="https://www.linkedin.com/learning/a-toolkit-for-giving-and-receiving-better-feedback" TargetMode="External"/><Relationship Id="rId204" Type="http://schemas.openxmlformats.org/officeDocument/2006/relationships/hyperlink" Target="https://www.linkedin.com/learning/aligning-sales-and-marketing" TargetMode="External"/><Relationship Id="rId15" Type="http://schemas.openxmlformats.org/officeDocument/2006/relationships/hyperlink" Target="https://www.linkedin.com/learning/creating-a-culture-of-strategy-execution" TargetMode="External"/><Relationship Id="rId36" Type="http://schemas.openxmlformats.org/officeDocument/2006/relationships/hyperlink" Target="https://www.linkedin.com/learning/strategic-partnerships-ecosystems-and-platforms" TargetMode="External"/><Relationship Id="rId57" Type="http://schemas.openxmlformats.org/officeDocument/2006/relationships/hyperlink" Target="https://www.linkedin.com/learning/designing-an-authentic-brand" TargetMode="External"/><Relationship Id="rId106" Type="http://schemas.openxmlformats.org/officeDocument/2006/relationships/hyperlink" Target="https://www.linkedin.com/learning/giving-and-receiving-feedback" TargetMode="External"/><Relationship Id="rId127" Type="http://schemas.openxmlformats.org/officeDocument/2006/relationships/hyperlink" Target="https://www.linkedin.com/learning/why-motivating-people-doesn-t-work-and-what-does-getabstract-summary" TargetMode="External"/><Relationship Id="rId10" Type="http://schemas.openxmlformats.org/officeDocument/2006/relationships/hyperlink" Target="https://www.linkedin.com/learning/paths/become-a-business-unit-manager-2" TargetMode="External"/><Relationship Id="rId31" Type="http://schemas.openxmlformats.org/officeDocument/2006/relationships/hyperlink" Target="https://www.linkedin.com/learning/strategic-agility/welcome" TargetMode="External"/><Relationship Id="rId52" Type="http://schemas.openxmlformats.org/officeDocument/2006/relationships/hyperlink" Target="https://www.linkedin.com/learning/driving-measurable-sustainable-change" TargetMode="External"/><Relationship Id="rId73" Type="http://schemas.openxmlformats.org/officeDocument/2006/relationships/hyperlink" Target="https://www.linkedin.com/learning/foundations-of-corporate-training" TargetMode="External"/><Relationship Id="rId78" Type="http://schemas.openxmlformats.org/officeDocument/2006/relationships/hyperlink" Target="https://www.linkedin.com/learning/developing-your-execution-strategy" TargetMode="External"/><Relationship Id="rId94" Type="http://schemas.openxmlformats.org/officeDocument/2006/relationships/hyperlink" Target="https://www.linkedin.com/learning/goal-setting-objectives-and-key-results-okrs" TargetMode="External"/><Relationship Id="rId99" Type="http://schemas.openxmlformats.org/officeDocument/2006/relationships/hyperlink" Target="https://www.linkedin.com/learning/your-product-or-service-strategy-explained" TargetMode="External"/><Relationship Id="rId101" Type="http://schemas.openxmlformats.org/officeDocument/2006/relationships/hyperlink" Target="https://www.linkedin.com/learning/selling-with-authenticity" TargetMode="External"/><Relationship Id="rId122" Type="http://schemas.openxmlformats.org/officeDocument/2006/relationships/hyperlink" Target="https://www.linkedin.com/learning/business-to-business-sales" TargetMode="External"/><Relationship Id="rId143" Type="http://schemas.openxmlformats.org/officeDocument/2006/relationships/hyperlink" Target="https://www.linkedin.com/learning/the-science-of-sales" TargetMode="External"/><Relationship Id="rId148" Type="http://schemas.openxmlformats.org/officeDocument/2006/relationships/hyperlink" Target="https://www.linkedin.com/learning/measuring-team-performance" TargetMode="External"/><Relationship Id="rId164" Type="http://schemas.openxmlformats.org/officeDocument/2006/relationships/hyperlink" Target="https://www.linkedin.com/learning/sales-negotiation/welcome" TargetMode="External"/><Relationship Id="rId169" Type="http://schemas.openxmlformats.org/officeDocument/2006/relationships/hyperlink" Target="https://www.linkedin.com/learning/coaching-skills-for-leaders-and-managers" TargetMode="External"/><Relationship Id="rId185" Type="http://schemas.openxmlformats.org/officeDocument/2006/relationships/hyperlink" Target="https://www.linkedin.com/learning/sales-develop-a-service-orientation" TargetMode="External"/><Relationship Id="rId4" Type="http://schemas.openxmlformats.org/officeDocument/2006/relationships/hyperlink" Target="https://www.linkedin.com/learning/paths/develop-your-strategic-planning-skills" TargetMode="External"/><Relationship Id="rId9" Type="http://schemas.openxmlformats.org/officeDocument/2006/relationships/hyperlink" Target="https://www.linkedin.com/learning/creating-a-culture-of-change" TargetMode="External"/><Relationship Id="rId180" Type="http://schemas.openxmlformats.org/officeDocument/2006/relationships/hyperlink" Target="https://www.linkedin.com/learning/sustainability-strategies/welcome" TargetMode="External"/><Relationship Id="rId26" Type="http://schemas.openxmlformats.org/officeDocument/2006/relationships/hyperlink" Target="https://www.linkedin.com/learning/leading-with-vision" TargetMode="External"/><Relationship Id="rId47" Type="http://schemas.openxmlformats.org/officeDocument/2006/relationships/hyperlink" Target="https://www.linkedin.com/learning/talent-management/what-you-should-know-before-watching-this-course" TargetMode="External"/><Relationship Id="rId68" Type="http://schemas.openxmlformats.org/officeDocument/2006/relationships/hyperlink" Target="https://www.linkedin.com/learning/onboarding-and-adoption-best-practices-for-customer-success-management" TargetMode="External"/><Relationship Id="rId89" Type="http://schemas.openxmlformats.org/officeDocument/2006/relationships/hyperlink" Target="https://www.linkedin.com/learning/creating-your-sales-process-2020" TargetMode="External"/><Relationship Id="rId112" Type="http://schemas.openxmlformats.org/officeDocument/2006/relationships/hyperlink" Target="https://www.linkedin.com/learning/improving-employee-performance" TargetMode="External"/><Relationship Id="rId133" Type="http://schemas.openxmlformats.org/officeDocument/2006/relationships/hyperlink" Target="https://www.linkedin.com/learning/bring-your-human-to-work-getabstract-summary" TargetMode="External"/><Relationship Id="rId154" Type="http://schemas.openxmlformats.org/officeDocument/2006/relationships/hyperlink" Target="https://www.linkedin.com/learning/creating-a-leadership-development-program" TargetMode="External"/><Relationship Id="rId175" Type="http://schemas.openxmlformats.org/officeDocument/2006/relationships/hyperlink" Target="https://www.linkedin.com/learning/developing-your-team-members/personalize-your-leadership-approach" TargetMode="External"/><Relationship Id="rId196" Type="http://schemas.openxmlformats.org/officeDocument/2006/relationships/hyperlink" Target="https://www.linkedin.com/learning/the-coaching-habit-getabstract-summary" TargetMode="External"/><Relationship Id="rId200" Type="http://schemas.openxmlformats.org/officeDocument/2006/relationships/hyperlink" Target="https://www.linkedin.com/learning/cybersecurity-foundations-2020-revision" TargetMode="External"/><Relationship Id="rId16" Type="http://schemas.openxmlformats.org/officeDocument/2006/relationships/hyperlink" Target="https://www.linkedin.com/learning/paths/managing-change" TargetMode="External"/><Relationship Id="rId37" Type="http://schemas.openxmlformats.org/officeDocument/2006/relationships/hyperlink" Target="https://www.linkedin.com/learning/paths/applying-lean-devops-and-agile-to-your-it-organization" TargetMode="External"/><Relationship Id="rId58" Type="http://schemas.openxmlformats.org/officeDocument/2006/relationships/hyperlink" Target="https://www.linkedin.com/learning/women-transforming-tech-voices-from-the-field-2" TargetMode="External"/><Relationship Id="rId79" Type="http://schemas.openxmlformats.org/officeDocument/2006/relationships/hyperlink" Target="https://www.linkedin.com/learning/women-transforming-tech-finding-sponsors" TargetMode="External"/><Relationship Id="rId102" Type="http://schemas.openxmlformats.org/officeDocument/2006/relationships/hyperlink" Target="https://www.linkedin.com/learning/goal-setting-objectives-and-key-results-okrs" TargetMode="External"/><Relationship Id="rId123" Type="http://schemas.openxmlformats.org/officeDocument/2006/relationships/hyperlink" Target="https://www.linkedin.com/learning/thinking-in-new-boxes-a-new-paradigm-for-business-creativity" TargetMode="External"/><Relationship Id="rId144" Type="http://schemas.openxmlformats.org/officeDocument/2006/relationships/hyperlink" Target="https://www.linkedin.com/learning/create-a-go-to-market-plan-2,https:/www.linkedin.com/learning/create-a-go-to-market-plan-revision-2020" TargetMode="External"/><Relationship Id="rId90" Type="http://schemas.openxmlformats.org/officeDocument/2006/relationships/hyperlink" Target="https://www.linkedin.com/learning/azure-understanding-the-big-picture-revision-q2-2020" TargetMode="External"/><Relationship Id="rId165" Type="http://schemas.openxmlformats.org/officeDocument/2006/relationships/hyperlink" Target="https://www.linkedin.com/learning/measuring-business-performance" TargetMode="External"/><Relationship Id="rId186" Type="http://schemas.openxmlformats.org/officeDocument/2006/relationships/hyperlink" Target="https://www.linkedin.com/learning/strategic-planning-case-studies" TargetMode="External"/><Relationship Id="rId27" Type="http://schemas.openxmlformats.org/officeDocument/2006/relationships/hyperlink" Target="https://www.linkedin.com/learning/paths/become-a-business-operations-associate" TargetMode="External"/><Relationship Id="rId48" Type="http://schemas.openxmlformats.org/officeDocument/2006/relationships/hyperlink" Target="https://www.linkedin.com/learning/following-up-after-a-sales-meeting" TargetMode="External"/><Relationship Id="rId69" Type="http://schemas.openxmlformats.org/officeDocument/2006/relationships/hyperlink" Target="https://www.linkedin.com/learning/developing-a-competitive-strategy" TargetMode="External"/><Relationship Id="rId113" Type="http://schemas.openxmlformats.org/officeDocument/2006/relationships/hyperlink" Target="https://www.linkedin.com/learning/creating-powerful-sales-proposals" TargetMode="External"/><Relationship Id="rId134" Type="http://schemas.openxmlformats.org/officeDocument/2006/relationships/hyperlink" Target="https://www.linkedin.com/learning/just-ask-dean-karrel-2020" TargetMode="External"/><Relationship Id="rId80" Type="http://schemas.openxmlformats.org/officeDocument/2006/relationships/hyperlink" Target="https://www.linkedin.com/learning/prepare-yourself-for-a-career-in-sales-2020" TargetMode="External"/><Relationship Id="rId155" Type="http://schemas.openxmlformats.org/officeDocument/2006/relationships/hyperlink" Target="https://www.linkedin.com/learning/analyzing-sales-competitors" TargetMode="External"/><Relationship Id="rId176" Type="http://schemas.openxmlformats.org/officeDocument/2006/relationships/hyperlink" Target="https://www.linkedin.com/learning/key-account-management" TargetMode="External"/><Relationship Id="rId197" Type="http://schemas.openxmlformats.org/officeDocument/2006/relationships/hyperlink" Target="https://www.linkedin.com/learning/sales-data-driven-sales-management" TargetMode="External"/><Relationship Id="rId201" Type="http://schemas.openxmlformats.org/officeDocument/2006/relationships/hyperlink" Target="https://www.linkedin.com/learning/cross-selling" TargetMode="External"/><Relationship Id="rId17" Type="http://schemas.openxmlformats.org/officeDocument/2006/relationships/hyperlink" Target="https://www.linkedin.com/learning/creating-a-positive-and-healthy-work-environment" TargetMode="External"/><Relationship Id="rId38" Type="http://schemas.openxmlformats.org/officeDocument/2006/relationships/hyperlink" Target="https://www.linkedin.com/learning/building-your-team" TargetMode="External"/><Relationship Id="rId59" Type="http://schemas.openxmlformats.org/officeDocument/2006/relationships/hyperlink" Target="https://www.linkedin.com/learning/customer-success-management-fundamentals" TargetMode="External"/><Relationship Id="rId103" Type="http://schemas.openxmlformats.org/officeDocument/2006/relationships/hyperlink" Target="https://www.linkedin.com/learning/developing-adaptable-employees" TargetMode="External"/><Relationship Id="rId124" Type="http://schemas.openxmlformats.org/officeDocument/2006/relationships/hyperlink" Target="https://www.linkedin.com/learning/how-to-be-a-good-mentee-and-mentor" TargetMode="External"/><Relationship Id="rId70" Type="http://schemas.openxmlformats.org/officeDocument/2006/relationships/hyperlink" Target="https://www.linkedin.com/learning/delegating-tasks" TargetMode="External"/><Relationship Id="rId91" Type="http://schemas.openxmlformats.org/officeDocument/2006/relationships/hyperlink" Target="https://www.linkedin.com/learning/the-secrets-to-success-at-work-uk" TargetMode="External"/><Relationship Id="rId145" Type="http://schemas.openxmlformats.org/officeDocument/2006/relationships/hyperlink" Target="https://www.linkedin.com/learning/building-high-performance-teams" TargetMode="External"/><Relationship Id="rId166" Type="http://schemas.openxmlformats.org/officeDocument/2006/relationships/hyperlink" Target="https://www.linkedin.com/learning/employee-experience" TargetMode="External"/><Relationship Id="rId187" Type="http://schemas.openxmlformats.org/officeDocument/2006/relationships/hyperlink" Target="https://www.linkedin.com/learning/managing-multiple-generations-2020" TargetMode="External"/><Relationship Id="rId1" Type="http://schemas.openxmlformats.org/officeDocument/2006/relationships/hyperlink" Target="https://www.linkedin.com/learning/sales-coaching" TargetMode="External"/><Relationship Id="rId28" Type="http://schemas.openxmlformats.org/officeDocument/2006/relationships/hyperlink" Target="https://www.linkedin.com/learning/using-neuroscience-for-more-effective-l-d" TargetMode="External"/><Relationship Id="rId49" Type="http://schemas.openxmlformats.org/officeDocument/2006/relationships/hyperlink" Target="https://www.linkedin.com/learning/emerging-digital-technologies-case-studies-for-leaders" TargetMode="External"/><Relationship Id="rId114" Type="http://schemas.openxmlformats.org/officeDocument/2006/relationships/hyperlink" Target="https://www.linkedin.com/learning/emily-cohen-brutal-honesty-as-a-business-strategy" TargetMode="External"/><Relationship Id="rId60" Type="http://schemas.openxmlformats.org/officeDocument/2006/relationships/hyperlink" Target="https://www.linkedin.com/learning/sap-erp-essential-training,https:/www.linkedin.com/learning/sap-erp-essential-training-2,https:/www.linkedin.com/learning/sap-erp-essential-training-2020-revision" TargetMode="External"/><Relationship Id="rId81" Type="http://schemas.openxmlformats.org/officeDocument/2006/relationships/hyperlink" Target="https://www.linkedin.com/learning/defining-and-segmenting-competition" TargetMode="External"/><Relationship Id="rId135" Type="http://schemas.openxmlformats.org/officeDocument/2006/relationships/hyperlink" Target="https://www.linkedin.com/learning/leading-with-next-generation-kpis-with-michael-schrage" TargetMode="External"/><Relationship Id="rId156" Type="http://schemas.openxmlformats.org/officeDocument/2006/relationships/hyperlink" Target="https://www.linkedin.com/learning/developing-executive-presence/do-i-have-to-be-fake" TargetMode="External"/><Relationship Id="rId177" Type="http://schemas.openxmlformats.org/officeDocument/2006/relationships/hyperlink" Target="https://www.linkedin.com/learning/strategic-planning-foundations" TargetMode="External"/><Relationship Id="rId198" Type="http://schemas.openxmlformats.org/officeDocument/2006/relationships/hyperlink" Target="https://www.linkedin.com/learning/azure-for-architects-design-a-business-continuity-strategy" TargetMode="External"/><Relationship Id="rId202" Type="http://schemas.openxmlformats.org/officeDocument/2006/relationships/hyperlink" Target="https://www.linkedin.com/learning/balancing-innovation-and-risk" TargetMode="External"/><Relationship Id="rId18" Type="http://schemas.openxmlformats.org/officeDocument/2006/relationships/hyperlink" Target="https://www.linkedin.com/learning/paths/improve-your-coaching-skills-as-a-manager" TargetMode="External"/><Relationship Id="rId39" Type="http://schemas.openxmlformats.org/officeDocument/2006/relationships/hyperlink" Target="https://www.linkedin.com/learning/paths/become-a-senior-manager" TargetMode="External"/><Relationship Id="rId50" Type="http://schemas.openxmlformats.org/officeDocument/2006/relationships/hyperlink" Target="https://www.linkedin.com/learning/managing-high-performers" TargetMode="External"/><Relationship Id="rId104" Type="http://schemas.openxmlformats.org/officeDocument/2006/relationships/hyperlink" Target="https://www.linkedin.com/learning/jeffrey-gitomer-s-little-red-book-of-sales-answers-getabstract-summary" TargetMode="External"/><Relationship Id="rId125" Type="http://schemas.openxmlformats.org/officeDocument/2006/relationships/hyperlink" Target="https://www.linkedin.com/learning/selling-to-executives/next-steps" TargetMode="External"/><Relationship Id="rId146" Type="http://schemas.openxmlformats.org/officeDocument/2006/relationships/hyperlink" Target="https://www.linkedin.com/learning/sales-prospecting" TargetMode="External"/><Relationship Id="rId167" Type="http://schemas.openxmlformats.org/officeDocument/2006/relationships/hyperlink" Target="https://www.linkedin.com/learning/purpose-driven-sales/welcome" TargetMode="External"/><Relationship Id="rId188" Type="http://schemas.openxmlformats.org/officeDocument/2006/relationships/hyperlink" Target="https://www.linkedin.com/learning/sales-customer-success" TargetMode="External"/><Relationship Id="rId71" Type="http://schemas.openxmlformats.org/officeDocument/2006/relationships/hyperlink" Target="https://www.linkedin.com/learning/business-analytics-sales-data" TargetMode="External"/><Relationship Id="rId92" Type="http://schemas.openxmlformats.org/officeDocument/2006/relationships/hyperlink" Target="https://www.linkedin.com/learning/business-fundamentals-for-customer-success-managers" TargetMode="External"/><Relationship Id="rId2" Type="http://schemas.openxmlformats.org/officeDocument/2006/relationships/hyperlink" Target="https://www.linkedin.com/learning/paths/develop-your-sales-knowledge-and-skills" TargetMode="External"/><Relationship Id="rId29" Type="http://schemas.openxmlformats.org/officeDocument/2006/relationships/hyperlink" Target="https://www.linkedin.com/learning/paths/advance-your-skills-as-a-manager" TargetMode="External"/></Relationships>
</file>

<file path=xl/worksheets/_rels/sheet13.xml.rels><?xml version="1.0" encoding="UTF-8" standalone="yes"?>
<Relationships xmlns="http://schemas.openxmlformats.org/package/2006/relationships"><Relationship Id="rId117" Type="http://schemas.openxmlformats.org/officeDocument/2006/relationships/hyperlink" Target="https://www.linkedin.com/learning/the-power-of-introverts" TargetMode="External"/><Relationship Id="rId21" Type="http://schemas.openxmlformats.org/officeDocument/2006/relationships/hyperlink" Target="https://www.linkedin.com/learning/paths/women-transforming-tech-navigating-your-career" TargetMode="External"/><Relationship Id="rId42" Type="http://schemas.openxmlformats.org/officeDocument/2006/relationships/hyperlink" Target="https://www.linkedin.com/learning/writing-case-studies" TargetMode="External"/><Relationship Id="rId63" Type="http://schemas.openxmlformats.org/officeDocument/2006/relationships/hyperlink" Target="https://www.linkedin.com/learning/hiring-an-employee-for-managers-2019" TargetMode="External"/><Relationship Id="rId84" Type="http://schemas.openxmlformats.org/officeDocument/2006/relationships/hyperlink" Target="https://www.linkedin.com/learning/using-feedback-to-drive-performance" TargetMode="External"/><Relationship Id="rId138" Type="http://schemas.openxmlformats.org/officeDocument/2006/relationships/hyperlink" Target="https://www.linkedin.com/learning/bystander-training-from-bystander-to-upstander" TargetMode="External"/><Relationship Id="rId159" Type="http://schemas.openxmlformats.org/officeDocument/2006/relationships/hyperlink" Target="https://www.linkedin.com/learning/social-interactions-for-multinational-teams/communication-mistakes-around-the-world?" TargetMode="External"/><Relationship Id="rId107" Type="http://schemas.openxmlformats.org/officeDocument/2006/relationships/hyperlink" Target="https://www.linkedin.com/learning/writing-in-plain-english" TargetMode="External"/><Relationship Id="rId11" Type="http://schemas.openxmlformats.org/officeDocument/2006/relationships/hyperlink" Target="https://www.linkedin.com/learning/editing-mastery-how-to-edit-writing-to-perfection" TargetMode="External"/><Relationship Id="rId32" Type="http://schemas.openxmlformats.org/officeDocument/2006/relationships/hyperlink" Target="https://www.linkedin.com/learning/technical-writing-reports" TargetMode="External"/><Relationship Id="rId53" Type="http://schemas.openxmlformats.org/officeDocument/2006/relationships/hyperlink" Target="https://www.linkedin.com/learning/grammar-girl-s-quick-and-dirty-tips-for-better-writing" TargetMode="External"/><Relationship Id="rId74" Type="http://schemas.openxmlformats.org/officeDocument/2006/relationships/hyperlink" Target="https://www.linkedin.com/learning/writing-articles-2020" TargetMode="External"/><Relationship Id="rId128" Type="http://schemas.openxmlformats.org/officeDocument/2006/relationships/hyperlink" Target="https://www.linkedin.com/learning/how-to-be-a-good-mentee-and-mentor" TargetMode="External"/><Relationship Id="rId149" Type="http://schemas.openxmlformats.org/officeDocument/2006/relationships/hyperlink" Target="https://www.linkedin.com/learning/fostering-belonging-as-a-leader" TargetMode="External"/><Relationship Id="rId5" Type="http://schemas.openxmlformats.org/officeDocument/2006/relationships/hyperlink" Target="https://www.linkedin.com/learning/advanced-grammar" TargetMode="External"/><Relationship Id="rId95" Type="http://schemas.openxmlformats.org/officeDocument/2006/relationships/hyperlink" Target="https://www.linkedin.com/learning/writing-a-business-case" TargetMode="External"/><Relationship Id="rId160" Type="http://schemas.openxmlformats.org/officeDocument/2006/relationships/hyperlink" Target="https://www.linkedin.com/learning/women-helping-women-succeed-in-the-workplace/sallie-krawcheck-plant-the-seeds-to-secure-your-financial-future" TargetMode="External"/><Relationship Id="rId22" Type="http://schemas.openxmlformats.org/officeDocument/2006/relationships/hyperlink" Target="https://www.linkedin.com/learning/learning-to-write-for-the-web" TargetMode="External"/><Relationship Id="rId43" Type="http://schemas.openxmlformats.org/officeDocument/2006/relationships/hyperlink" Target="https://www.linkedin.com/learning/managing-high-potentials" TargetMode="External"/><Relationship Id="rId64" Type="http://schemas.openxmlformats.org/officeDocument/2006/relationships/hyperlink" Target="https://www.linkedin.com/learning/teaching-civility-in-the-workplace" TargetMode="External"/><Relationship Id="rId118" Type="http://schemas.openxmlformats.org/officeDocument/2006/relationships/hyperlink" Target="https://www.linkedin.com/learning/writing-with-flair-how-to-become-an-exceptional-writer" TargetMode="External"/><Relationship Id="rId139" Type="http://schemas.openxmlformats.org/officeDocument/2006/relationships/hyperlink" Target="https://www.linkedin.com/learning/cultivating-cultural-competence-and-inclusion" TargetMode="External"/><Relationship Id="rId85" Type="http://schemas.openxmlformats.org/officeDocument/2006/relationships/hyperlink" Target="https://www.linkedin.com/learning/women-transforming-tech-building-your-brand/build-your-story" TargetMode="External"/><Relationship Id="rId150" Type="http://schemas.openxmlformats.org/officeDocument/2006/relationships/hyperlink" Target="https://www.linkedin.com/learning/communicating-about-culturally-sensitive-issues" TargetMode="External"/><Relationship Id="rId12" Type="http://schemas.openxmlformats.org/officeDocument/2006/relationships/hyperlink" Target="https://www.linkedin.com/learning/paths/become-a-content-strategist-7" TargetMode="External"/><Relationship Id="rId17" Type="http://schemas.openxmlformats.org/officeDocument/2006/relationships/hyperlink" Target="https://www.linkedin.com/learning/learning-to-write-for-the-web" TargetMode="External"/><Relationship Id="rId33" Type="http://schemas.openxmlformats.org/officeDocument/2006/relationships/hyperlink" Target="https://www.linkedin.com/learning/managing-experts" TargetMode="External"/><Relationship Id="rId38" Type="http://schemas.openxmlformats.org/officeDocument/2006/relationships/hyperlink" Target="https://www.linkedin.com/learning/managing-high-performers" TargetMode="External"/><Relationship Id="rId59" Type="http://schemas.openxmlformats.org/officeDocument/2006/relationships/hyperlink" Target="https://www.linkedin.com/learning/writing-a-marketing-plan-2020" TargetMode="External"/><Relationship Id="rId103" Type="http://schemas.openxmlformats.org/officeDocument/2006/relationships/hyperlink" Target="https://www.linkedin.com/learning/inclusion-during-difficult-times" TargetMode="External"/><Relationship Id="rId108" Type="http://schemas.openxmlformats.org/officeDocument/2006/relationships/hyperlink" Target="https://www.linkedin.com/learning/measuring-team-performance" TargetMode="External"/><Relationship Id="rId124" Type="http://schemas.openxmlformats.org/officeDocument/2006/relationships/hyperlink" Target="https://www.linkedin.com/learning/new-manager-foundations-2" TargetMode="External"/><Relationship Id="rId129" Type="http://schemas.openxmlformats.org/officeDocument/2006/relationships/hyperlink" Target="https://www.linkedin.com/learning/quick-tips-for-writing-business-emails" TargetMode="External"/><Relationship Id="rId54" Type="http://schemas.openxmlformats.org/officeDocument/2006/relationships/hyperlink" Target="https://www.linkedin.com/learning/setting-team-and-employee-goals" TargetMode="External"/><Relationship Id="rId70" Type="http://schemas.openxmlformats.org/officeDocument/2006/relationships/hyperlink" Target="https://www.linkedin.com/learning/women-transforming-tech-negotiation" TargetMode="External"/><Relationship Id="rId75" Type="http://schemas.openxmlformats.org/officeDocument/2006/relationships/hyperlink" Target="https://www.linkedin.com/learning/motivating-and-engaging-employees-2" TargetMode="External"/><Relationship Id="rId91" Type="http://schemas.openxmlformats.org/officeDocument/2006/relationships/hyperlink" Target="https://www.linkedin.com/learning/women-transforming-tech-getting-strategic-with-your-career/take-charge-of-your-career" TargetMode="External"/><Relationship Id="rId96" Type="http://schemas.openxmlformats.org/officeDocument/2006/relationships/hyperlink" Target="https://www.linkedin.com/learning/coaching-for-results" TargetMode="External"/><Relationship Id="rId140" Type="http://schemas.openxmlformats.org/officeDocument/2006/relationships/hyperlink" Target="https://www.linkedin.com/learning/fighting-gender-bias-at-work" TargetMode="External"/><Relationship Id="rId145" Type="http://schemas.openxmlformats.org/officeDocument/2006/relationships/hyperlink" Target="https://www.linkedin.com/learning/awakening-compassion-at-work-blinkist-summary" TargetMode="External"/><Relationship Id="rId161" Type="http://schemas.openxmlformats.org/officeDocument/2006/relationships/hyperlink" Target="https://www.linkedin.com/learning/values-and-ethics-case-studies-in-action" TargetMode="External"/><Relationship Id="rId1" Type="http://schemas.openxmlformats.org/officeDocument/2006/relationships/hyperlink" Target="https://www.linkedin.com/learning/creating-a-high-performance-culture/components-of-high-performing-cultures" TargetMode="External"/><Relationship Id="rId6" Type="http://schemas.openxmlformats.org/officeDocument/2006/relationships/hyperlink" Target="https://www.linkedin.com/learning/paths/develop-your-writing-skills" TargetMode="External"/><Relationship Id="rId23" Type="http://schemas.openxmlformats.org/officeDocument/2006/relationships/hyperlink" Target="https://www.linkedin.com/learning/boosting-your-team-s-productivity" TargetMode="External"/><Relationship Id="rId28" Type="http://schemas.openxmlformats.org/officeDocument/2006/relationships/hyperlink" Target="https://www.linkedin.com/learning/delegating-tasks" TargetMode="External"/><Relationship Id="rId49" Type="http://schemas.openxmlformats.org/officeDocument/2006/relationships/hyperlink" Target="https://www.linkedin.com/learning/paths/improve-your-coaching-skills-as-a-manager" TargetMode="External"/><Relationship Id="rId114" Type="http://schemas.openxmlformats.org/officeDocument/2006/relationships/hyperlink" Target="https://www.linkedin.com/learning/empathy-in-business-design-for-success,https:/www.linkedin.com/learning/empathy-in-design" TargetMode="External"/><Relationship Id="rId119" Type="http://schemas.openxmlformats.org/officeDocument/2006/relationships/hyperlink" Target="https://www.linkedin.com/learning/jeff-weiner-on-establishing-a-culture-and-a-plan-for-scaling" TargetMode="External"/><Relationship Id="rId44" Type="http://schemas.openxmlformats.org/officeDocument/2006/relationships/hyperlink" Target="https://www.linkedin.com/learning/confronting-bias-thriving-across-our-differences" TargetMode="External"/><Relationship Id="rId60" Type="http://schemas.openxmlformats.org/officeDocument/2006/relationships/hyperlink" Target="https://www.linkedin.com/learning/empathy-tips-for-hr-professionals" TargetMode="External"/><Relationship Id="rId65" Type="http://schemas.openxmlformats.org/officeDocument/2006/relationships/hyperlink" Target="https://www.linkedin.com/learning/technical-writing-quick-start-guides" TargetMode="External"/><Relationship Id="rId81" Type="http://schemas.openxmlformats.org/officeDocument/2006/relationships/hyperlink" Target="https://www.linkedin.com/learning/leading-professionals-power-politics-and-prima-donnas-getabstract-summary" TargetMode="External"/><Relationship Id="rId86" Type="http://schemas.openxmlformats.org/officeDocument/2006/relationships/hyperlink" Target="https://www.linkedin.com/learning/business-writing-strategies" TargetMode="External"/><Relationship Id="rId130" Type="http://schemas.openxmlformats.org/officeDocument/2006/relationships/hyperlink" Target="https://www.linkedin.com/learning/preparing-to-lead-developing-mental-toughness-in-yourself" TargetMode="External"/><Relationship Id="rId135" Type="http://schemas.openxmlformats.org/officeDocument/2006/relationships/hyperlink" Target="https://www.linkedin.com/learning/john-maeda-on-design-business-and-inclusion" TargetMode="External"/><Relationship Id="rId151" Type="http://schemas.openxmlformats.org/officeDocument/2006/relationships/hyperlink" Target="https://www.linkedin.com/learning/leading-inclusive-teams" TargetMode="External"/><Relationship Id="rId156" Type="http://schemas.openxmlformats.org/officeDocument/2006/relationships/hyperlink" Target="https://www.linkedin.com/learning/managing-someone-older-than-you/successfully-manage-an-older-report" TargetMode="External"/><Relationship Id="rId13" Type="http://schemas.openxmlformats.org/officeDocument/2006/relationships/hyperlink" Target="https://www.linkedin.com/learning/getting-your-talent-to-bring-their-best-ideas-to-work" TargetMode="External"/><Relationship Id="rId18" Type="http://schemas.openxmlformats.org/officeDocument/2006/relationships/hyperlink" Target="https://www.linkedin.com/learning/foundations-of-performance-management-with-nigel-cumberland" TargetMode="External"/><Relationship Id="rId39" Type="http://schemas.openxmlformats.org/officeDocument/2006/relationships/hyperlink" Target="https://www.linkedin.com/learning/paths/become-a-senior-manager" TargetMode="External"/><Relationship Id="rId109" Type="http://schemas.openxmlformats.org/officeDocument/2006/relationships/hyperlink" Target="https://www.linkedin.com/learning/inclusive-mindset-for-committed-allies" TargetMode="External"/><Relationship Id="rId34" Type="http://schemas.openxmlformats.org/officeDocument/2006/relationships/hyperlink" Target="https://www.linkedin.com/learning/paths/become-an-hr-business-partner" TargetMode="External"/><Relationship Id="rId50" Type="http://schemas.openxmlformats.org/officeDocument/2006/relationships/hyperlink" Target="https://www.linkedin.com/learning/writing-your-company-overview" TargetMode="External"/><Relationship Id="rId55" Type="http://schemas.openxmlformats.org/officeDocument/2006/relationships/hyperlink" Target="https://www.linkedin.com/learning/diversity-and-inclusion-in-a-global-enterprise" TargetMode="External"/><Relationship Id="rId76" Type="http://schemas.openxmlformats.org/officeDocument/2006/relationships/hyperlink" Target="https://www.linkedin.com/learning/marketing-to-diverse-audiences/you-know-less-than-you-think?" TargetMode="External"/><Relationship Id="rId97" Type="http://schemas.openxmlformats.org/officeDocument/2006/relationships/hyperlink" Target="https://www.linkedin.com/learning/finding-and-doing-the-one-thing" TargetMode="External"/><Relationship Id="rId104" Type="http://schemas.openxmlformats.org/officeDocument/2006/relationships/hyperlink" Target="https://www.linkedin.com/learning/writing-formal-business-letters-and-emails" TargetMode="External"/><Relationship Id="rId120" Type="http://schemas.openxmlformats.org/officeDocument/2006/relationships/hyperlink" Target="https://www.linkedin.com/learning/the-science-of-compassion-getting-started" TargetMode="External"/><Relationship Id="rId125" Type="http://schemas.openxmlformats.org/officeDocument/2006/relationships/hyperlink" Target="https://www.linkedin.com/learning/conquering-writer-s-block" TargetMode="External"/><Relationship Id="rId141" Type="http://schemas.openxmlformats.org/officeDocument/2006/relationships/hyperlink" Target="https://www.linkedin.com/learning/preventing-harassment-in-the-workplace" TargetMode="External"/><Relationship Id="rId146" Type="http://schemas.openxmlformats.org/officeDocument/2006/relationships/hyperlink" Target="https://www.linkedin.com/learning/driving-change-and-anti-racism" TargetMode="External"/><Relationship Id="rId7" Type="http://schemas.openxmlformats.org/officeDocument/2006/relationships/hyperlink" Target="https://www.linkedin.com/learning/creating-a-positive-and-healthy-work-environment/welcome" TargetMode="External"/><Relationship Id="rId71" Type="http://schemas.openxmlformats.org/officeDocument/2006/relationships/hyperlink" Target="https://www.linkedin.com/learning/writing-a-proposal" TargetMode="External"/><Relationship Id="rId92" Type="http://schemas.openxmlformats.org/officeDocument/2006/relationships/hyperlink" Target="https://www.linkedin.com/learning/productivity-hacks-for-writers" TargetMode="External"/><Relationship Id="rId162" Type="http://schemas.openxmlformats.org/officeDocument/2006/relationships/hyperlink" Target="https://www.linkedin.com/learning/managing-multiple-generations-2020" TargetMode="External"/><Relationship Id="rId2" Type="http://schemas.openxmlformats.org/officeDocument/2006/relationships/hyperlink" Target="https://www.linkedin.com/learning/paths/recruit-and-maximize-talent" TargetMode="External"/><Relationship Id="rId29" Type="http://schemas.openxmlformats.org/officeDocument/2006/relationships/hyperlink" Target="https://www.linkedin.com/learning/paths/become-an-inclusive-leader" TargetMode="External"/><Relationship Id="rId24" Type="http://schemas.openxmlformats.org/officeDocument/2006/relationships/hyperlink" Target="https://www.linkedin.com/learning/paths/finding-and-retaining-talent" TargetMode="External"/><Relationship Id="rId40" Type="http://schemas.openxmlformats.org/officeDocument/2006/relationships/hyperlink" Target="https://www.linkedin.com/learning/communicating-across-cultures-2" TargetMode="External"/><Relationship Id="rId45" Type="http://schemas.openxmlformats.org/officeDocument/2006/relationships/hyperlink" Target="https://www.linkedin.com/learning/paths/stay-ahead-in-all-things-dibs" TargetMode="External"/><Relationship Id="rId66" Type="http://schemas.openxmlformats.org/officeDocument/2006/relationships/hyperlink" Target="https://www.linkedin.com/learning/coaching-and-developing-employees-4" TargetMode="External"/><Relationship Id="rId87" Type="http://schemas.openxmlformats.org/officeDocument/2006/relationships/hyperlink" Target="https://www.linkedin.com/learning/managing-for-results-2020,https:/www.linkedin.com/learning/managing-for-results-4" TargetMode="External"/><Relationship Id="rId110" Type="http://schemas.openxmlformats.org/officeDocument/2006/relationships/hyperlink" Target="https://www.linkedin.com/learning/writing-recommendations" TargetMode="External"/><Relationship Id="rId115" Type="http://schemas.openxmlformats.org/officeDocument/2006/relationships/hyperlink" Target="https://www.linkedin.com/learning/writing-under-a-deadline" TargetMode="External"/><Relationship Id="rId131" Type="http://schemas.openxmlformats.org/officeDocument/2006/relationships/hyperlink" Target="https://www.linkedin.com/learning/ninja-writing-the-four-levels-of-writing-mastery" TargetMode="External"/><Relationship Id="rId136" Type="http://schemas.openxmlformats.org/officeDocument/2006/relationships/hyperlink" Target="https://www.linkedin.com/learning/shane-snow-on-dream-teams" TargetMode="External"/><Relationship Id="rId157" Type="http://schemas.openxmlformats.org/officeDocument/2006/relationships/hyperlink" Target="https://www.linkedin.com/learning/managing-generation-z/gen-z-unlike-any-you-ve-managed?" TargetMode="External"/><Relationship Id="rId61" Type="http://schemas.openxmlformats.org/officeDocument/2006/relationships/hyperlink" Target="https://www.linkedin.com/learning/diversity-the-best-resource-for-achieving-business-goals" TargetMode="External"/><Relationship Id="rId82" Type="http://schemas.openxmlformats.org/officeDocument/2006/relationships/hyperlink" Target="https://www.linkedin.com/learning/proven-success-strategies-for-women-at-work/welcome" TargetMode="External"/><Relationship Id="rId152" Type="http://schemas.openxmlformats.org/officeDocument/2006/relationships/hyperlink" Target="https://www.linkedin.com/learning/managing-a-multigenerational-workforce" TargetMode="External"/><Relationship Id="rId19" Type="http://schemas.openxmlformats.org/officeDocument/2006/relationships/hyperlink" Target="https://www.linkedin.com/learning/paths/managing-performance" TargetMode="External"/><Relationship Id="rId14" Type="http://schemas.openxmlformats.org/officeDocument/2006/relationships/hyperlink" Target="https://www.linkedin.com/learning/paths/improve-your-coaching-skills-as-a-manager" TargetMode="External"/><Relationship Id="rId30" Type="http://schemas.openxmlformats.org/officeDocument/2006/relationships/hyperlink" Target="https://www.linkedin.com/learning/confronting-racism-with-robin-diangelo" TargetMode="External"/><Relationship Id="rId35" Type="http://schemas.openxmlformats.org/officeDocument/2006/relationships/hyperlink" Target="https://www.linkedin.com/learning/inclusive-instructional-design/design-inclusive-learning-experiences?" TargetMode="External"/><Relationship Id="rId56" Type="http://schemas.openxmlformats.org/officeDocument/2006/relationships/hyperlink" Target="https://www.linkedin.com/learning/tips-for-better-business-writing" TargetMode="External"/><Relationship Id="rId77" Type="http://schemas.openxmlformats.org/officeDocument/2006/relationships/hyperlink" Target="https://www.linkedin.com/learning/writing-a-tech-resume" TargetMode="External"/><Relationship Id="rId100" Type="http://schemas.openxmlformats.org/officeDocument/2006/relationships/hyperlink" Target="https://www.linkedin.com/learning/connecting-with-your-millennial-manager" TargetMode="External"/><Relationship Id="rId105" Type="http://schemas.openxmlformats.org/officeDocument/2006/relationships/hyperlink" Target="https://www.linkedin.com/learning/managing-employee-performance-problems-3" TargetMode="External"/><Relationship Id="rId126" Type="http://schemas.openxmlformats.org/officeDocument/2006/relationships/hyperlink" Target="https://www.linkedin.com/learning/multinational-communication-in-the-workplace" TargetMode="External"/><Relationship Id="rId147" Type="http://schemas.openxmlformats.org/officeDocument/2006/relationships/hyperlink" Target="https://www.linkedin.com/learning/difficult-conversations-talking-about-race-at-work" TargetMode="External"/><Relationship Id="rId8" Type="http://schemas.openxmlformats.org/officeDocument/2006/relationships/hyperlink" Target="https://www.linkedin.com/learning/paths/advance-your-skills-as-a-manager" TargetMode="External"/><Relationship Id="rId51" Type="http://schemas.openxmlformats.org/officeDocument/2006/relationships/hyperlink" Target="https://www.linkedin.com/learning/performance-management-setting-goals-and-managing-performance" TargetMode="External"/><Relationship Id="rId72" Type="http://schemas.openxmlformats.org/officeDocument/2006/relationships/hyperlink" Target="https://www.linkedin.com/learning/managing-virtual-teams-4/managing-people-at-a-distance" TargetMode="External"/><Relationship Id="rId93" Type="http://schemas.openxmlformats.org/officeDocument/2006/relationships/hyperlink" Target="https://www.linkedin.com/learning/coaching-employees-through-difficult-situations" TargetMode="External"/><Relationship Id="rId98" Type="http://schemas.openxmlformats.org/officeDocument/2006/relationships/hyperlink" Target="https://www.linkedin.com/learning/writing-a-compelling-blog-post" TargetMode="External"/><Relationship Id="rId121" Type="http://schemas.openxmlformats.org/officeDocument/2006/relationships/hyperlink" Target="https://www.linkedin.com/learning/writing-with-impact" TargetMode="External"/><Relationship Id="rId142" Type="http://schemas.openxmlformats.org/officeDocument/2006/relationships/hyperlink" Target="https://www.linkedin.com/learning/skills-for-inclusive-conversations" TargetMode="External"/><Relationship Id="rId163" Type="http://schemas.openxmlformats.org/officeDocument/2006/relationships/hyperlink" Target="https://www.linkedin.com/learning/empathy-at-work" TargetMode="External"/><Relationship Id="rId3" Type="http://schemas.openxmlformats.org/officeDocument/2006/relationships/hyperlink" Target="https://www.linkedin.com/learning/global-strategy" TargetMode="External"/><Relationship Id="rId25" Type="http://schemas.openxmlformats.org/officeDocument/2006/relationships/hyperlink" Target="https://www.linkedin.com/learning/out-and-proud-approaching-lgbt-issues-in-the-workplace" TargetMode="External"/><Relationship Id="rId46" Type="http://schemas.openxmlformats.org/officeDocument/2006/relationships/hyperlink" Target="https://www.linkedin.com/learning/writing-white-papers" TargetMode="External"/><Relationship Id="rId67" Type="http://schemas.openxmlformats.org/officeDocument/2006/relationships/hyperlink" Target="https://www.linkedin.com/learning/women-transforming-tech-voices-from-the-field" TargetMode="External"/><Relationship Id="rId116" Type="http://schemas.openxmlformats.org/officeDocument/2006/relationships/hyperlink" Target="https://www.linkedin.com/learning/rolling-out-a-dibs-training-program-in-your-company" TargetMode="External"/><Relationship Id="rId137" Type="http://schemas.openxmlformats.org/officeDocument/2006/relationships/hyperlink" Target="https://www.linkedin.com/learning/speaking-up-at-work" TargetMode="External"/><Relationship Id="rId158" Type="http://schemas.openxmlformats.org/officeDocument/2006/relationships/hyperlink" Target="https://www.linkedin.com/learning/recruiting-veterans/welcome" TargetMode="External"/><Relationship Id="rId20" Type="http://schemas.openxmlformats.org/officeDocument/2006/relationships/hyperlink" Target="https://www.linkedin.com/learning/leveraging-neuroscience-for-business-impact" TargetMode="External"/><Relationship Id="rId41" Type="http://schemas.openxmlformats.org/officeDocument/2006/relationships/hyperlink" Target="https://www.linkedin.com/learning/paths/women-in-leadership-3" TargetMode="External"/><Relationship Id="rId62" Type="http://schemas.openxmlformats.org/officeDocument/2006/relationships/hyperlink" Target="https://www.linkedin.com/learning/how-to-become-a-purpose-driven-journalist" TargetMode="External"/><Relationship Id="rId83" Type="http://schemas.openxmlformats.org/officeDocument/2006/relationships/hyperlink" Target="https://www.linkedin.com/learning/business-writing-principles" TargetMode="External"/><Relationship Id="rId88" Type="http://schemas.openxmlformats.org/officeDocument/2006/relationships/hyperlink" Target="https://www.linkedin.com/learning/women-transforming-tech-finding-sponsors/the-difference-between-sponsors-and-mentors" TargetMode="External"/><Relationship Id="rId111" Type="http://schemas.openxmlformats.org/officeDocument/2006/relationships/hyperlink" Target="https://www.linkedin.com/learning/interviewing-techniques-2019" TargetMode="External"/><Relationship Id="rId132" Type="http://schemas.openxmlformats.org/officeDocument/2006/relationships/hyperlink" Target="https://www.linkedin.com/learning/becoming-a-male-ally-at-work" TargetMode="External"/><Relationship Id="rId153" Type="http://schemas.openxmlformats.org/officeDocument/2006/relationships/hyperlink" Target="https://www.linkedin.com/learning/unconscious-bias" TargetMode="External"/><Relationship Id="rId15" Type="http://schemas.openxmlformats.org/officeDocument/2006/relationships/hyperlink" Target="https://www.linkedin.com/learning/leading-globally" TargetMode="External"/><Relationship Id="rId36" Type="http://schemas.openxmlformats.org/officeDocument/2006/relationships/hyperlink" Target="https://www.linkedin.com/learning/paths/transition-from-military-to-student-life?" TargetMode="External"/><Relationship Id="rId57" Type="http://schemas.openxmlformats.org/officeDocument/2006/relationships/hyperlink" Target="https://www.linkedin.com/learning/talent-management" TargetMode="External"/><Relationship Id="rId106" Type="http://schemas.openxmlformats.org/officeDocument/2006/relationships/hyperlink" Target="https://www.linkedin.com/learning/own-it-the-power-of-women-at-work" TargetMode="External"/><Relationship Id="rId127" Type="http://schemas.openxmlformats.org/officeDocument/2006/relationships/hyperlink" Target="https://www.linkedin.com/learning/running-a-design-business-writing-and-pricing-winning-proposals" TargetMode="External"/><Relationship Id="rId10" Type="http://schemas.openxmlformats.org/officeDocument/2006/relationships/hyperlink" Target="https://www.linkedin.com/learning/paths/diversity-inclusion-and-belonging-for-leaders-and-managers" TargetMode="External"/><Relationship Id="rId31" Type="http://schemas.openxmlformats.org/officeDocument/2006/relationships/hyperlink" Target="https://www.linkedin.com/learning/paths/transition-from-military-to-civilian-employment" TargetMode="External"/><Relationship Id="rId52" Type="http://schemas.openxmlformats.org/officeDocument/2006/relationships/hyperlink" Target="https://www.linkedin.com/learning/developing-cross-cultural-intelligence" TargetMode="External"/><Relationship Id="rId73" Type="http://schemas.openxmlformats.org/officeDocument/2006/relationships/hyperlink" Target="https://www.linkedin.com/learning/teaching-with-linkedin-learning" TargetMode="External"/><Relationship Id="rId78" Type="http://schemas.openxmlformats.org/officeDocument/2006/relationships/hyperlink" Target="https://www.linkedin.com/learning/rewarding-employee-performance" TargetMode="External"/><Relationship Id="rId94" Type="http://schemas.openxmlformats.org/officeDocument/2006/relationships/hyperlink" Target="https://www.linkedin.com/learning/women-transforming-tech-networking/how-to-think-about-networking" TargetMode="External"/><Relationship Id="rId99" Type="http://schemas.openxmlformats.org/officeDocument/2006/relationships/hyperlink" Target="https://www.linkedin.com/learning/driving-workplace-happiness" TargetMode="External"/><Relationship Id="rId101" Type="http://schemas.openxmlformats.org/officeDocument/2006/relationships/hyperlink" Target="https://www.linkedin.com/learning/writing-email" TargetMode="External"/><Relationship Id="rId122" Type="http://schemas.openxmlformats.org/officeDocument/2006/relationships/hyperlink" Target="https://www.linkedin.com/learning/the-science-of-compassion-the-upward-spiral-of-compassion" TargetMode="External"/><Relationship Id="rId143" Type="http://schemas.openxmlformats.org/officeDocument/2006/relationships/hyperlink" Target="https://www.linkedin.com/learning/leadership-in-tech" TargetMode="External"/><Relationship Id="rId148" Type="http://schemas.openxmlformats.org/officeDocument/2006/relationships/hyperlink" Target="https://www.linkedin.com/learning/creating-a-connection-culture,https:/www.linkedin.com/learning/creating-a-culture-of-connection" TargetMode="External"/><Relationship Id="rId164" Type="http://schemas.openxmlformats.org/officeDocument/2006/relationships/hyperlink" Target="https://www.linkedin.com/learning/managing-a-diverse-team" TargetMode="External"/><Relationship Id="rId4" Type="http://schemas.openxmlformats.org/officeDocument/2006/relationships/hyperlink" Target="https://www.linkedin.com/learning/paths/become-an-inclusive-leader" TargetMode="External"/><Relationship Id="rId9" Type="http://schemas.openxmlformats.org/officeDocument/2006/relationships/hyperlink" Target="https://www.linkedin.com/learning/inclusive-leadership" TargetMode="External"/><Relationship Id="rId26" Type="http://schemas.openxmlformats.org/officeDocument/2006/relationships/hyperlink" Target="https://www.linkedin.com/learning/paths/become-a-thought-leader" TargetMode="External"/><Relationship Id="rId47" Type="http://schemas.openxmlformats.org/officeDocument/2006/relationships/hyperlink" Target="https://www.linkedin.com/learning/performance-management-conducting-performance-reviews" TargetMode="External"/><Relationship Id="rId68" Type="http://schemas.openxmlformats.org/officeDocument/2006/relationships/hyperlink" Target="https://www.linkedin.com/learning/writing-a-business-report" TargetMode="External"/><Relationship Id="rId89" Type="http://schemas.openxmlformats.org/officeDocument/2006/relationships/hyperlink" Target="https://www.linkedin.com/learning/editing-and-proofreading-made-simple/welcome" TargetMode="External"/><Relationship Id="rId112" Type="http://schemas.openxmlformats.org/officeDocument/2006/relationships/hyperlink" Target="https://www.linkedin.com/learning/writing-speeches" TargetMode="External"/><Relationship Id="rId133" Type="http://schemas.openxmlformats.org/officeDocument/2006/relationships/hyperlink" Target="https://www.linkedin.com/learning/writing-headlines" TargetMode="External"/><Relationship Id="rId154" Type="http://schemas.openxmlformats.org/officeDocument/2006/relationships/hyperlink" Target="https://www.linkedin.com/learning/collaborative-leadership" TargetMode="External"/><Relationship Id="rId16" Type="http://schemas.openxmlformats.org/officeDocument/2006/relationships/hyperlink" Target="https://www.linkedin.com/learning/paths/diversity-inclusion-and-belonging-for-all" TargetMode="External"/><Relationship Id="rId37" Type="http://schemas.openxmlformats.org/officeDocument/2006/relationships/hyperlink" Target="https://www.linkedin.com/learning/writing-a-research-paper" TargetMode="External"/><Relationship Id="rId58" Type="http://schemas.openxmlformats.org/officeDocument/2006/relationships/hyperlink" Target="https://www.linkedin.com/learning/diversity-inclusion-and-belonging-2/dibs-an-introduction" TargetMode="External"/><Relationship Id="rId79" Type="http://schemas.openxmlformats.org/officeDocument/2006/relationships/hyperlink" Target="https://www.linkedin.com/learning/overcoming-imposter-syndrome/the-reality-of-imposter-syndrome?" TargetMode="External"/><Relationship Id="rId102" Type="http://schemas.openxmlformats.org/officeDocument/2006/relationships/hyperlink" Target="https://www.linkedin.com/learning/employee-experience" TargetMode="External"/><Relationship Id="rId123" Type="http://schemas.openxmlformats.org/officeDocument/2006/relationships/hyperlink" Target="https://www.linkedin.com/learning/writing-the-craft-of-story" TargetMode="External"/><Relationship Id="rId144" Type="http://schemas.openxmlformats.org/officeDocument/2006/relationships/hyperlink" Target="https://www.linkedin.com/learning/supporting-the-whole-self-at-work-a-diversity-and-inclusion-imperative" TargetMode="External"/><Relationship Id="rId90" Type="http://schemas.openxmlformats.org/officeDocument/2006/relationships/hyperlink" Target="https://www.linkedin.com/learning/building-a-coaching-culture-improving-performance-through-timely-feedback/respectful-candor" TargetMode="External"/><Relationship Id="rId27" Type="http://schemas.openxmlformats.org/officeDocument/2006/relationships/hyperlink" Target="https://www.linkedin.com/learning/note-taking-for-business-professionals" TargetMode="External"/><Relationship Id="rId48" Type="http://schemas.openxmlformats.org/officeDocument/2006/relationships/hyperlink" Target="https://www.linkedin.com/learning/creating-change-diversity-and-inclusion-in-the-tech-industry" TargetMode="External"/><Relationship Id="rId69" Type="http://schemas.openxmlformats.org/officeDocument/2006/relationships/hyperlink" Target="https://www.linkedin.com/learning/improving-employee-performance" TargetMode="External"/><Relationship Id="rId113" Type="http://schemas.openxmlformats.org/officeDocument/2006/relationships/hyperlink" Target="https://www.linkedin.com/learning/predictive-analytics-essential-training-for-executives" TargetMode="External"/><Relationship Id="rId134" Type="http://schemas.openxmlformats.org/officeDocument/2006/relationships/hyperlink" Target="https://www.linkedin.com/learning/developing-a-diversity-inclusion-and-belonging-program/why-dibs-diversity-inclusion-and-belonging-is-important" TargetMode="External"/><Relationship Id="rId80" Type="http://schemas.openxmlformats.org/officeDocument/2006/relationships/hyperlink" Target="https://www.linkedin.com/learning/writing-in-plain-language" TargetMode="External"/><Relationship Id="rId155" Type="http://schemas.openxmlformats.org/officeDocument/2006/relationships/hyperlink" Target="https://www.linkedin.com/learning/leadership-strategies-for-women/women-lead-differently?"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s://www.linkedin.com/learning/mindfulness-for-beginners" TargetMode="External"/><Relationship Id="rId21" Type="http://schemas.openxmlformats.org/officeDocument/2006/relationships/hyperlink" Target="https://www.linkedin.com/learning/de-stress" TargetMode="External"/><Relationship Id="rId42" Type="http://schemas.openxmlformats.org/officeDocument/2006/relationships/hyperlink" Target="https://www.linkedin.com/learning/meditation-audio-course" TargetMode="External"/><Relationship Id="rId47" Type="http://schemas.openxmlformats.org/officeDocument/2006/relationships/hyperlink" Target="https://www.linkedin.com/learning/the-leader-s-guide-to-mindfulness-getabstract-summary" TargetMode="External"/><Relationship Id="rId63" Type="http://schemas.openxmlformats.org/officeDocument/2006/relationships/hyperlink" Target="https://www.linkedin.com/learning/the-five-thieves-of-happiness-getabstract-summary" TargetMode="External"/><Relationship Id="rId68" Type="http://schemas.openxmlformats.org/officeDocument/2006/relationships/hyperlink" Target="https://www.linkedin.com/learning/arianna-huffington-s-thrive-03-setting-priorities-and-letting-go" TargetMode="External"/><Relationship Id="rId16" Type="http://schemas.openxmlformats.org/officeDocument/2006/relationships/hyperlink" Target="https://www.linkedin.com/learning/chair-work-yoga-fitness-and-stretching-at-your-desk" TargetMode="External"/><Relationship Id="rId11" Type="http://schemas.openxmlformats.org/officeDocument/2006/relationships/hyperlink" Target="https://www.linkedin.com/learning/finding-your-introvert-extrovert-balance-in-the-workplace" TargetMode="External"/><Relationship Id="rId32" Type="http://schemas.openxmlformats.org/officeDocument/2006/relationships/hyperlink" Target="https://www.linkedin.com/learning/meditations-to-change-your-brain" TargetMode="External"/><Relationship Id="rId37" Type="http://schemas.openxmlformats.org/officeDocument/2006/relationships/hyperlink" Target="https://www.linkedin.com/learning/managing-stress-2019" TargetMode="External"/><Relationship Id="rId53" Type="http://schemas.openxmlformats.org/officeDocument/2006/relationships/hyperlink" Target="https://www.linkedin.com/learning/being-the-best-you-self-improvement-modeling" TargetMode="External"/><Relationship Id="rId58" Type="http://schemas.openxmlformats.org/officeDocument/2006/relationships/hyperlink" Target="https://www.linkedin.com/learning/arianna-huffington-s-thrive-06-understanding-the-link-between-giving-and-success" TargetMode="External"/><Relationship Id="rId74" Type="http://schemas.openxmlformats.org/officeDocument/2006/relationships/hyperlink" Target="https://www.linkedin.com/learning/mindfulness-practices" TargetMode="External"/><Relationship Id="rId79" Type="http://schemas.openxmlformats.org/officeDocument/2006/relationships/hyperlink" Target="https://www.linkedin.com/learning/driving-workplace-happiness" TargetMode="External"/><Relationship Id="rId5" Type="http://schemas.openxmlformats.org/officeDocument/2006/relationships/hyperlink" Target="https://www.linkedin.com/learning/paths/manage-change-and-develop-your-adaptability-skills" TargetMode="External"/><Relationship Id="rId61" Type="http://schemas.openxmlformats.org/officeDocument/2006/relationships/hyperlink" Target="https://www.linkedin.com/learning/disrupting-yourself" TargetMode="External"/><Relationship Id="rId82" Type="http://schemas.openxmlformats.org/officeDocument/2006/relationships/hyperlink" Target="https://www.linkedin.com/learning/ways-to-build-a-winning-team-trust-freedom-and-play" TargetMode="External"/><Relationship Id="rId19" Type="http://schemas.openxmlformats.org/officeDocument/2006/relationships/hyperlink" Target="https://www.linkedin.com/learning/building-better-routines" TargetMode="External"/><Relationship Id="rId14" Type="http://schemas.openxmlformats.org/officeDocument/2006/relationships/hyperlink" Target="https://www.linkedin.com/learning/managing-self-doubt-to-tackle-bigger-challenges" TargetMode="External"/><Relationship Id="rId22" Type="http://schemas.openxmlformats.org/officeDocument/2006/relationships/hyperlink" Target="https://www.linkedin.com/learning/overcoming-impostor-syndrome" TargetMode="External"/><Relationship Id="rId27" Type="http://schemas.openxmlformats.org/officeDocument/2006/relationships/hyperlink" Target="https://www.linkedin.com/learning/neck-stretching-exercises-for-computer-users-and-texters" TargetMode="External"/><Relationship Id="rId30" Type="http://schemas.openxmlformats.org/officeDocument/2006/relationships/hyperlink" Target="https://www.linkedin.com/learning/ergonomics-101" TargetMode="External"/><Relationship Id="rId35" Type="http://schemas.openxmlformats.org/officeDocument/2006/relationships/hyperlink" Target="https://www.linkedin.com/learning/sky-yogi-relax-and-stretch-for-a-better-flight" TargetMode="External"/><Relationship Id="rId43" Type="http://schemas.openxmlformats.org/officeDocument/2006/relationships/hyperlink" Target="https://www.linkedin.com/learning/the-45-minute-business-plan" TargetMode="External"/><Relationship Id="rId48" Type="http://schemas.openxmlformats.org/officeDocument/2006/relationships/hyperlink" Target="https://www.linkedin.com/learning/esther-dyson-on-cultivating-health-at-scale" TargetMode="External"/><Relationship Id="rId56" Type="http://schemas.openxmlformats.org/officeDocument/2006/relationships/hyperlink" Target="https://www.linkedin.com/learning/life-mastery-achieving-happiness-and-success" TargetMode="External"/><Relationship Id="rId64" Type="http://schemas.openxmlformats.org/officeDocument/2006/relationships/hyperlink" Target="https://www.linkedin.com/learning/balancing-work-and-life-as-a-work-from-home-parent" TargetMode="External"/><Relationship Id="rId69" Type="http://schemas.openxmlformats.org/officeDocument/2006/relationships/hyperlink" Target="https://www.linkedin.com/learning/managing-depression-in-the-workplace" TargetMode="External"/><Relationship Id="rId77" Type="http://schemas.openxmlformats.org/officeDocument/2006/relationships/hyperlink" Target="https://www.linkedin.com/learning/when-the-scientific-secrets-of-perfect-timing-blinkist" TargetMode="External"/><Relationship Id="rId8" Type="http://schemas.openxmlformats.org/officeDocument/2006/relationships/hyperlink" Target="https://www.linkedin.com/learning/leading-with-fearless-mindfulness" TargetMode="External"/><Relationship Id="rId51" Type="http://schemas.openxmlformats.org/officeDocument/2006/relationships/hyperlink" Target="https://www.linkedin.com/learning/arianna-huffington-s-thrive-05-igniting-joy-through-presence-and-wonder" TargetMode="External"/><Relationship Id="rId72" Type="http://schemas.openxmlformats.org/officeDocument/2006/relationships/hyperlink" Target="https://www.linkedin.com/learning/recharge-your-energy-for-peak-performance" TargetMode="External"/><Relationship Id="rId80" Type="http://schemas.openxmlformats.org/officeDocument/2006/relationships/hyperlink" Target="https://www.linkedin.com/learning/balancing-multiple-roles-as-a-leader" TargetMode="External"/><Relationship Id="rId3" Type="http://schemas.openxmlformats.org/officeDocument/2006/relationships/hyperlink" Target="https://www.linkedin.com/learning/paths/supporting-your-well-being-during-times-of-change-and-uncertainty" TargetMode="External"/><Relationship Id="rId12" Type="http://schemas.openxmlformats.org/officeDocument/2006/relationships/hyperlink" Target="https://www.linkedin.com/learning/managing-your-energy" TargetMode="External"/><Relationship Id="rId17" Type="http://schemas.openxmlformats.org/officeDocument/2006/relationships/hyperlink" Target="https://www.linkedin.com/learning/how-to-slash-anxiety-and-keep-positivity-flowing" TargetMode="External"/><Relationship Id="rId25" Type="http://schemas.openxmlformats.org/officeDocument/2006/relationships/hyperlink" Target="https://www.linkedin.com/learning/the-science-of-compassion-compassionate-presence" TargetMode="External"/><Relationship Id="rId33" Type="http://schemas.openxmlformats.org/officeDocument/2006/relationships/hyperlink" Target="https://www.linkedin.com/learning/developing-self-awareness" TargetMode="External"/><Relationship Id="rId38" Type="http://schemas.openxmlformats.org/officeDocument/2006/relationships/hyperlink" Target="https://www.linkedin.com/learning/being-positive-at-work" TargetMode="External"/><Relationship Id="rId46" Type="http://schemas.openxmlformats.org/officeDocument/2006/relationships/hyperlink" Target="https://www.linkedin.com/learning/arianna-huffington-s-thrive-01-discovering-meditation-and-sleep" TargetMode="External"/><Relationship Id="rId59" Type="http://schemas.openxmlformats.org/officeDocument/2006/relationships/hyperlink" Target="https://www.linkedin.com/learning/happiness-tips-weekly" TargetMode="External"/><Relationship Id="rId67" Type="http://schemas.openxmlformats.org/officeDocument/2006/relationships/hyperlink" Target="https://www.linkedin.com/learning/confronting-bias-thriving-across-our-differences" TargetMode="External"/><Relationship Id="rId20" Type="http://schemas.openxmlformats.org/officeDocument/2006/relationships/hyperlink" Target="https://www.linkedin.com/learning/teaching-civility-in-the-workplace" TargetMode="External"/><Relationship Id="rId41" Type="http://schemas.openxmlformats.org/officeDocument/2006/relationships/hyperlink" Target="https://www.linkedin.com/learning/developing-adaptable-employees" TargetMode="External"/><Relationship Id="rId54" Type="http://schemas.openxmlformats.org/officeDocument/2006/relationships/hyperlink" Target="https://www.linkedin.com/learning/supporting-your-mental-health-while-working-from-home" TargetMode="External"/><Relationship Id="rId62" Type="http://schemas.openxmlformats.org/officeDocument/2006/relationships/hyperlink" Target="https://www.linkedin.com/learning/the-internet-trap-five-costs-of-living-online-getabstract-summary" TargetMode="External"/><Relationship Id="rId70" Type="http://schemas.openxmlformats.org/officeDocument/2006/relationships/hyperlink" Target="https://www.linkedin.com/learning/balancing-work-and-life" TargetMode="External"/><Relationship Id="rId75" Type="http://schemas.openxmlformats.org/officeDocument/2006/relationships/hyperlink" Target="https://www.linkedin.com/learning/the-culture-code-blinkist" TargetMode="External"/><Relationship Id="rId1" Type="http://schemas.openxmlformats.org/officeDocument/2006/relationships/hyperlink" Target="https://www.linkedin.com/learning/creating-a-positive-and-healthy-work-environment" TargetMode="External"/><Relationship Id="rId6" Type="http://schemas.openxmlformats.org/officeDocument/2006/relationships/hyperlink" Target="https://www.linkedin.com/learning/overcoming-overwhelm" TargetMode="External"/><Relationship Id="rId15" Type="http://schemas.openxmlformats.org/officeDocument/2006/relationships/hyperlink" Target="https://www.linkedin.com/learning/using-your-mind-to-change-your-brain" TargetMode="External"/><Relationship Id="rId23" Type="http://schemas.openxmlformats.org/officeDocument/2006/relationships/hyperlink" Target="https://www.linkedin.com/learning/stop-stressing-and-keep-moving-forward" TargetMode="External"/><Relationship Id="rId28" Type="http://schemas.openxmlformats.org/officeDocument/2006/relationships/hyperlink" Target="https://www.linkedin.com/learning/the-mindful-workday" TargetMode="External"/><Relationship Id="rId36" Type="http://schemas.openxmlformats.org/officeDocument/2006/relationships/hyperlink" Target="https://www.linkedin.com/learning/boost-emotional-intelligence-with-mindfulness" TargetMode="External"/><Relationship Id="rId49" Type="http://schemas.openxmlformats.org/officeDocument/2006/relationships/hyperlink" Target="https://www.linkedin.com/learning/sheryl-sandberg-and-adam-grant-on-option-b-building-resilience" TargetMode="External"/><Relationship Id="rId57" Type="http://schemas.openxmlformats.org/officeDocument/2006/relationships/hyperlink" Target="https://www.linkedin.com/learning/creating-an-amazing-life" TargetMode="External"/><Relationship Id="rId10" Type="http://schemas.openxmlformats.org/officeDocument/2006/relationships/hyperlink" Target="https://www.linkedin.com/learning/finding-and-doing-the-one-thing" TargetMode="External"/><Relationship Id="rId31" Type="http://schemas.openxmlformats.org/officeDocument/2006/relationships/hyperlink" Target="https://www.linkedin.com/learning/developing-your-emotional-intelligence" TargetMode="External"/><Relationship Id="rId44" Type="http://schemas.openxmlformats.org/officeDocument/2006/relationships/hyperlink" Target="https://www.linkedin.com/learning/humor-in-the-workplace" TargetMode="External"/><Relationship Id="rId52" Type="http://schemas.openxmlformats.org/officeDocument/2006/relationships/hyperlink" Target="https://www.linkedin.com/learning/the-courage-habit-getabstract-summary" TargetMode="External"/><Relationship Id="rId60" Type="http://schemas.openxmlformats.org/officeDocument/2006/relationships/hyperlink" Target="https://www.linkedin.com/learning/learning-to-say-no" TargetMode="External"/><Relationship Id="rId65" Type="http://schemas.openxmlformats.org/officeDocument/2006/relationships/hyperlink" Target="https://www.linkedin.com/learning/essentials-of-mindfulness-and-compassion-with-scott-shute" TargetMode="External"/><Relationship Id="rId73" Type="http://schemas.openxmlformats.org/officeDocument/2006/relationships/hyperlink" Target="https://www.linkedin.com/learning/managing-anxiety-in-the-workplace" TargetMode="External"/><Relationship Id="rId78" Type="http://schemas.openxmlformats.org/officeDocument/2006/relationships/hyperlink" Target="https://www.linkedin.com/learning/unsubscribe-how-to-kill-email-anxiety-avoid-distractions-and-get-real-work-done-blinkist" TargetMode="External"/><Relationship Id="rId81" Type="http://schemas.openxmlformats.org/officeDocument/2006/relationships/hyperlink" Target="https://www.linkedin.com/learning/how-to-be-a-positive-leader-blinkist" TargetMode="External"/><Relationship Id="rId4" Type="http://schemas.openxmlformats.org/officeDocument/2006/relationships/hyperlink" Target="https://www.linkedin.com/learning/driving-measurable-sustainable-change" TargetMode="External"/><Relationship Id="rId9" Type="http://schemas.openxmlformats.org/officeDocument/2006/relationships/hyperlink" Target="https://www.linkedin.com/learning/paths/support-your-mental-health-during-challenging-times" TargetMode="External"/><Relationship Id="rId13" Type="http://schemas.openxmlformats.org/officeDocument/2006/relationships/hyperlink" Target="https://www.linkedin.com/learning/well-being-in-the-workplace" TargetMode="External"/><Relationship Id="rId18" Type="http://schemas.openxmlformats.org/officeDocument/2006/relationships/hyperlink" Target="https://www.linkedin.com/learning/breathing-exercises-for-mask-wearers" TargetMode="External"/><Relationship Id="rId39" Type="http://schemas.openxmlformats.org/officeDocument/2006/relationships/hyperlink" Target="https://www.linkedin.com/learning/supporting-a-grieving-employee-a-manager-s-guide" TargetMode="External"/><Relationship Id="rId34" Type="http://schemas.openxmlformats.org/officeDocument/2006/relationships/hyperlink" Target="https://www.linkedin.com/learning/avoiding-burnout-2019" TargetMode="External"/><Relationship Id="rId50" Type="http://schemas.openxmlformats.org/officeDocument/2006/relationships/hyperlink" Target="https://www.linkedin.com/learning/arianna-huffington-s-thrive-02-learning-how-to-unplug-and-recharge" TargetMode="External"/><Relationship Id="rId55" Type="http://schemas.openxmlformats.org/officeDocument/2006/relationships/hyperlink" Target="https://www.linkedin.com/learning/bring-your-human-to-work-getabstract-summary" TargetMode="External"/><Relationship Id="rId76" Type="http://schemas.openxmlformats.org/officeDocument/2006/relationships/hyperlink" Target="https://www.linkedin.com/learning/thriving-work-leveraging-the-connection-between-well-being-and-productivity" TargetMode="External"/><Relationship Id="rId7" Type="http://schemas.openxmlformats.org/officeDocument/2006/relationships/hyperlink" Target="https://www.linkedin.com/learning/paths/staying-positive-and-productive-during-uncertainty" TargetMode="External"/><Relationship Id="rId71" Type="http://schemas.openxmlformats.org/officeDocument/2006/relationships/hyperlink" Target="https://www.linkedin.com/learning/arianna-huffington-s-thrive-04-facing-challenges-with-gratitude-and-forgiveness" TargetMode="External"/><Relationship Id="rId2" Type="http://schemas.openxmlformats.org/officeDocument/2006/relationships/hyperlink" Target="https://www.linkedin.com/learning/paths/remote-working-setting-yourself-and-your-teams-up-for-success?u=104" TargetMode="External"/><Relationship Id="rId29" Type="http://schemas.openxmlformats.org/officeDocument/2006/relationships/hyperlink" Target="https://www.linkedin.com/learning/setting-limits-with-your-smartphone" TargetMode="External"/><Relationship Id="rId24" Type="http://schemas.openxmlformats.org/officeDocument/2006/relationships/hyperlink" Target="https://www.linkedin.com/learning/anger-management" TargetMode="External"/><Relationship Id="rId40" Type="http://schemas.openxmlformats.org/officeDocument/2006/relationships/hyperlink" Target="https://www.linkedin.com/learning/managing-stress-for-positive-change" TargetMode="External"/><Relationship Id="rId45" Type="http://schemas.openxmlformats.org/officeDocument/2006/relationships/hyperlink" Target="https://www.linkedin.com/learning/gretchen-rubin-on-creating-great-workplace-habits" TargetMode="External"/><Relationship Id="rId66" Type="http://schemas.openxmlformats.org/officeDocument/2006/relationships/hyperlink" Target="https://www.linkedin.com/learning/how-to-manage-feeling-overwhelmed" TargetMode="External"/></Relationships>
</file>

<file path=xl/worksheets/_rels/sheet2.xml.rels><?xml version="1.0" encoding="UTF-8" standalone="yes"?>
<Relationships xmlns="http://schemas.openxmlformats.org/package/2006/relationships"><Relationship Id="rId1522" Type="http://schemas.openxmlformats.org/officeDocument/2006/relationships/hyperlink" Target="https://www.linkedin.com/learning/measuring-team-performance" TargetMode="External"/><Relationship Id="rId21" Type="http://schemas.openxmlformats.org/officeDocument/2006/relationships/hyperlink" Target="https://www.linkedin.com/learning/performing-under-pressure" TargetMode="External"/><Relationship Id="rId170" Type="http://schemas.openxmlformats.org/officeDocument/2006/relationships/hyperlink" Target="https://www.linkedin.com/learning/developing-your-team-members" TargetMode="External"/><Relationship Id="rId268" Type="http://schemas.openxmlformats.org/officeDocument/2006/relationships/hyperlink" Target="https://www.linkedin.com/learning/own-your-voice-improve-presentations-and-executive-presence" TargetMode="External"/><Relationship Id="rId475" Type="http://schemas.openxmlformats.org/officeDocument/2006/relationships/hyperlink" Target="https://www.linkedin.com/learning/creative-thinking" TargetMode="External"/><Relationship Id="rId682" Type="http://schemas.openxmlformats.org/officeDocument/2006/relationships/hyperlink" Target="https://www.linkedin.com/learning/excel-2016-managing-and-analyzing-data" TargetMode="External"/><Relationship Id="rId128" Type="http://schemas.openxmlformats.org/officeDocument/2006/relationships/hyperlink" Target="https://www.linkedin.com/learning/your-l-d-organization-as-a-competitive-advantage/flexibility-and-adaptability" TargetMode="External"/><Relationship Id="rId335" Type="http://schemas.openxmlformats.org/officeDocument/2006/relationships/hyperlink" Target="https://www.linkedin.com/learning/project-audio-highlights-2020" TargetMode="External"/><Relationship Id="rId542" Type="http://schemas.openxmlformats.org/officeDocument/2006/relationships/hyperlink" Target="https://www.linkedin.com/learning/process-improvement-foundations" TargetMode="External"/><Relationship Id="rId987" Type="http://schemas.openxmlformats.org/officeDocument/2006/relationships/hyperlink" Target="https://www.linkedin.com/learning/cultivating-a-growth-mindset/create-a-growth-mindset" TargetMode="External"/><Relationship Id="rId1172" Type="http://schemas.openxmlformats.org/officeDocument/2006/relationships/hyperlink" Target="https://www.linkedin.com/learning/the-eight-essential-people-skills-for-project-management-blinkist-summary" TargetMode="External"/><Relationship Id="rId402" Type="http://schemas.openxmlformats.org/officeDocument/2006/relationships/hyperlink" Target="https://www.linkedin.com/learning/advertising-on-twitter-2020" TargetMode="External"/><Relationship Id="rId847" Type="http://schemas.openxmlformats.org/officeDocument/2006/relationships/hyperlink" Target="https://www.linkedin.com/learning/understanding-organisations-and-the-role-of-hr-uk" TargetMode="External"/><Relationship Id="rId1032" Type="http://schemas.openxmlformats.org/officeDocument/2006/relationships/hyperlink" Target="https://www.linkedin.com/learning/sustainability-strategies" TargetMode="External"/><Relationship Id="rId1477" Type="http://schemas.openxmlformats.org/officeDocument/2006/relationships/hyperlink" Target="https://www.linkedin.com/learning/employee-engagement" TargetMode="External"/><Relationship Id="rId1684" Type="http://schemas.openxmlformats.org/officeDocument/2006/relationships/hyperlink" Target="https://www.linkedin.com/learning/quick-tips-for-writing-business-emails" TargetMode="External"/><Relationship Id="rId707" Type="http://schemas.openxmlformats.org/officeDocument/2006/relationships/hyperlink" Target="https://www.linkedin.com/learning/tableau-and-r-for-analytics-projects" TargetMode="External"/><Relationship Id="rId914" Type="http://schemas.openxmlformats.org/officeDocument/2006/relationships/hyperlink" Target="https://www.linkedin.com/learning/applied-machine-learning-algorithms" TargetMode="External"/><Relationship Id="rId1337" Type="http://schemas.openxmlformats.org/officeDocument/2006/relationships/hyperlink" Target="https://www.linkedin.com/learning/software-project-management-foundations" TargetMode="External"/><Relationship Id="rId1544" Type="http://schemas.openxmlformats.org/officeDocument/2006/relationships/hyperlink" Target="https://www.linkedin.com/learning/paths/improve-your-coaching-skills-as-a-manager" TargetMode="External"/><Relationship Id="rId1751" Type="http://schemas.openxmlformats.org/officeDocument/2006/relationships/hyperlink" Target="https://www.linkedin.com/learning/essentials-of-mindfulness-and-compassion-with-scott-shute" TargetMode="External"/><Relationship Id="rId43" Type="http://schemas.openxmlformats.org/officeDocument/2006/relationships/hyperlink" Target="https://www.linkedin.com/learning/managing-your-energy" TargetMode="External"/><Relationship Id="rId1404" Type="http://schemas.openxmlformats.org/officeDocument/2006/relationships/hyperlink" Target="https://www.linkedin.com/learning/creating-powerful-sales-proposals" TargetMode="External"/><Relationship Id="rId1611" Type="http://schemas.openxmlformats.org/officeDocument/2006/relationships/hyperlink" Target="https://www.linkedin.com/learning/the-science-of-compassion-the-upward-spiral-of-compassion" TargetMode="External"/><Relationship Id="rId192" Type="http://schemas.openxmlformats.org/officeDocument/2006/relationships/hyperlink" Target="https://www.linkedin.com/learning/paths/improve-your-teamwork-skills" TargetMode="External"/><Relationship Id="rId1709" Type="http://schemas.openxmlformats.org/officeDocument/2006/relationships/hyperlink" Target="https://www.linkedin.com/learning/stop-stressing-and-keep-moving-forward" TargetMode="External"/><Relationship Id="rId497" Type="http://schemas.openxmlformats.org/officeDocument/2006/relationships/hyperlink" Target="https://www.linkedin.com/learning/creativity-generate-ideas-in-greater-quantity-and-quality" TargetMode="External"/><Relationship Id="rId357" Type="http://schemas.openxmlformats.org/officeDocument/2006/relationships/hyperlink" Target="https://www.linkedin.com/learning/advanced-product-marketing" TargetMode="External"/><Relationship Id="rId1194" Type="http://schemas.openxmlformats.org/officeDocument/2006/relationships/hyperlink" Target="https://www.linkedin.com/learning/how-leaders-can-motivate-by-creating-meaning" TargetMode="External"/><Relationship Id="rId217" Type="http://schemas.openxmlformats.org/officeDocument/2006/relationships/hyperlink" Target="https://www.linkedin.com/learning/collaborative-design-managing-a-team" TargetMode="External"/><Relationship Id="rId564" Type="http://schemas.openxmlformats.org/officeDocument/2006/relationships/hyperlink" Target="https://www.linkedin.com/learning/winning-back-a-lost-customer-2019" TargetMode="External"/><Relationship Id="rId771" Type="http://schemas.openxmlformats.org/officeDocument/2006/relationships/hyperlink" Target="https://www.linkedin.com/learning/running-a-profitable-business-understanding-financial-ratios" TargetMode="External"/><Relationship Id="rId869" Type="http://schemas.openxmlformats.org/officeDocument/2006/relationships/hyperlink" Target="https://www.linkedin.com/learning/hire-retain-and-grow-top-millennial-talent" TargetMode="External"/><Relationship Id="rId1499" Type="http://schemas.openxmlformats.org/officeDocument/2006/relationships/hyperlink" Target="https://www.linkedin.com/learning/women-transforming-tech-finding-sponsors" TargetMode="External"/><Relationship Id="rId424" Type="http://schemas.openxmlformats.org/officeDocument/2006/relationships/hyperlink" Target="https://www.linkedin.com/learning/creating-a-buzz" TargetMode="External"/><Relationship Id="rId631" Type="http://schemas.openxmlformats.org/officeDocument/2006/relationships/hyperlink" Target="https://www.linkedin.com/learning/data-science-foundations-fundamentals" TargetMode="External"/><Relationship Id="rId729" Type="http://schemas.openxmlformats.org/officeDocument/2006/relationships/hyperlink" Target="https://www.linkedin.com/learning/learning-to-teach-online-2019" TargetMode="External"/><Relationship Id="rId1054" Type="http://schemas.openxmlformats.org/officeDocument/2006/relationships/hyperlink" Target="https://www.linkedin.com/learning/jeff-weiner-on-managing-compassionately/what-is-compassionate-management" TargetMode="External"/><Relationship Id="rId1261" Type="http://schemas.openxmlformats.org/officeDocument/2006/relationships/hyperlink" Target="https://www.linkedin.com/learning/managing-logistics-2019" TargetMode="External"/><Relationship Id="rId1359" Type="http://schemas.openxmlformats.org/officeDocument/2006/relationships/hyperlink" Target="https://www.linkedin.com/learning/how-to-create-and-run-a-brilliant-remote-workshop-uk" TargetMode="External"/><Relationship Id="rId936" Type="http://schemas.openxmlformats.org/officeDocument/2006/relationships/hyperlink" Target="https://www.linkedin.com/learning/numpy-data-science-essential-training" TargetMode="External"/><Relationship Id="rId1121" Type="http://schemas.openxmlformats.org/officeDocument/2006/relationships/hyperlink" Target="https://www.linkedin.com/learning/having-career-conversations-with-your-team-members" TargetMode="External"/><Relationship Id="rId1219" Type="http://schemas.openxmlformats.org/officeDocument/2006/relationships/hyperlink" Target="https://www.linkedin.com/learning/process-improvement-foundations" TargetMode="External"/><Relationship Id="rId1566" Type="http://schemas.openxmlformats.org/officeDocument/2006/relationships/hyperlink" Target="https://www.linkedin.com/learning/building-a-coaching-culture-improving-performance-through-timely-feedback/respectful-candor" TargetMode="External"/><Relationship Id="rId65" Type="http://schemas.openxmlformats.org/officeDocument/2006/relationships/hyperlink" Target="https://www.linkedin.com/learning/building-accountability-into-your-culture/welcome" TargetMode="External"/><Relationship Id="rId1426" Type="http://schemas.openxmlformats.org/officeDocument/2006/relationships/hyperlink" Target="https://www.linkedin.com/learning/emerging-digital-technologies-case-studies-for-leaders" TargetMode="External"/><Relationship Id="rId1633" Type="http://schemas.openxmlformats.org/officeDocument/2006/relationships/hyperlink" Target="https://www.linkedin.com/learning/managing-a-multigenerational-workforce" TargetMode="External"/><Relationship Id="rId1700" Type="http://schemas.openxmlformats.org/officeDocument/2006/relationships/hyperlink" Target="https://www.linkedin.com/learning/managing-self-doubt-to-tackle-bigger-challenges" TargetMode="External"/><Relationship Id="rId281" Type="http://schemas.openxmlformats.org/officeDocument/2006/relationships/hyperlink" Target="https://www.linkedin.com/learning/the-science-of-compassion-getting-started" TargetMode="External"/><Relationship Id="rId141" Type="http://schemas.openxmlformats.org/officeDocument/2006/relationships/hyperlink" Target="https://www.linkedin.com/learning/setting-team-and-employee-goals" TargetMode="External"/><Relationship Id="rId379" Type="http://schemas.openxmlformats.org/officeDocument/2006/relationships/hyperlink" Target="https://www.linkedin.com/learning/seo-foundations-2" TargetMode="External"/><Relationship Id="rId586" Type="http://schemas.openxmlformats.org/officeDocument/2006/relationships/hyperlink" Target="https://www.linkedin.com/learning/engagement-evaluation-best-practices-for-customer-success-management" TargetMode="External"/><Relationship Id="rId793" Type="http://schemas.openxmlformats.org/officeDocument/2006/relationships/hyperlink" Target="https://www.linkedin.com/learning/economics-for-business-leaders" TargetMode="External"/><Relationship Id="rId7" Type="http://schemas.openxmlformats.org/officeDocument/2006/relationships/hyperlink" Target="https://www.linkedin.com/learning/developing-a-learning-mindset" TargetMode="External"/><Relationship Id="rId239" Type="http://schemas.openxmlformats.org/officeDocument/2006/relationships/hyperlink" Target="https://www.linkedin.com/learning/facilitation-skills-for-managers-and-leaders" TargetMode="External"/><Relationship Id="rId446" Type="http://schemas.openxmlformats.org/officeDocument/2006/relationships/hyperlink" Target="https://www.linkedin.com/learning/building-your-marketing-technology-stack" TargetMode="External"/><Relationship Id="rId653" Type="http://schemas.openxmlformats.org/officeDocument/2006/relationships/hyperlink" Target="https://www.linkedin.com/learning/learning-information-governance" TargetMode="External"/><Relationship Id="rId1076" Type="http://schemas.openxmlformats.org/officeDocument/2006/relationships/hyperlink" Target="https://www.linkedin.com/learning/transformational-leadership/being-powerful-in-transformation" TargetMode="External"/><Relationship Id="rId1283" Type="http://schemas.openxmlformats.org/officeDocument/2006/relationships/hyperlink" Target="https://www.linkedin.com/learning/presentation-tips-for-pitching-to-investors" TargetMode="External"/><Relationship Id="rId1490" Type="http://schemas.openxmlformats.org/officeDocument/2006/relationships/hyperlink" Target="https://www.linkedin.com/learning/managing-high-potentials" TargetMode="External"/><Relationship Id="rId306" Type="http://schemas.openxmlformats.org/officeDocument/2006/relationships/hyperlink" Target="https://www.linkedin.com/learning/a-step-bystep-guide-to-building-your-thought-leadership-on-linkedin-uk" TargetMode="External"/><Relationship Id="rId860" Type="http://schemas.openxmlformats.org/officeDocument/2006/relationships/hyperlink" Target="https://www.linkedin.com/learning/virtual-interviewing-for-hr" TargetMode="External"/><Relationship Id="rId958" Type="http://schemas.openxmlformats.org/officeDocument/2006/relationships/hyperlink" Target="https://www.linkedin.com/learning/sscp-cert-prep-7-systems-and-application-security" TargetMode="External"/><Relationship Id="rId1143" Type="http://schemas.openxmlformats.org/officeDocument/2006/relationships/hyperlink" Target="https://www.linkedin.com/learning/paths/managing-and-leading-developers" TargetMode="External"/><Relationship Id="rId1588" Type="http://schemas.openxmlformats.org/officeDocument/2006/relationships/hyperlink" Target="https://www.linkedin.com/learning/creating-change-diversity-and-inclusion-in-the-tech-industry" TargetMode="External"/><Relationship Id="rId87" Type="http://schemas.openxmlformats.org/officeDocument/2006/relationships/hyperlink" Target="https://www.linkedin.com/learning/learning-from-failure" TargetMode="External"/><Relationship Id="rId513" Type="http://schemas.openxmlformats.org/officeDocument/2006/relationships/hyperlink" Target="https://www.linkedin.com/learning/enhancing-team-innovation" TargetMode="External"/><Relationship Id="rId720" Type="http://schemas.openxmlformats.org/officeDocument/2006/relationships/hyperlink" Target="https://www.linkedin.com/learning/learning-articulate-rise-2019" TargetMode="External"/><Relationship Id="rId818" Type="http://schemas.openxmlformats.org/officeDocument/2006/relationships/hyperlink" Target="https://www.linkedin.com/learning/human-resources-selecting-an-hr-system" TargetMode="External"/><Relationship Id="rId1350" Type="http://schemas.openxmlformats.org/officeDocument/2006/relationships/hyperlink" Target="https://www.linkedin.com/learning/project-leadership" TargetMode="External"/><Relationship Id="rId1448" Type="http://schemas.openxmlformats.org/officeDocument/2006/relationships/hyperlink" Target="https://www.linkedin.com/learning/strategy-a-history-getabstract-summary" TargetMode="External"/><Relationship Id="rId1655" Type="http://schemas.openxmlformats.org/officeDocument/2006/relationships/hyperlink" Target="https://www.linkedin.com/learning/writing-white-papers" TargetMode="External"/><Relationship Id="rId1003" Type="http://schemas.openxmlformats.org/officeDocument/2006/relationships/hyperlink" Target="https://www.linkedin.com/learning/project-audio-highlights-2020" TargetMode="External"/><Relationship Id="rId1210" Type="http://schemas.openxmlformats.org/officeDocument/2006/relationships/hyperlink" Target="https://www.linkedin.com/learning/cost-reduction-cut-costs-and-maximize-profits" TargetMode="External"/><Relationship Id="rId1308" Type="http://schemas.openxmlformats.org/officeDocument/2006/relationships/hyperlink" Target="https://www.linkedin.com/learning/presentation-tips-weekly" TargetMode="External"/><Relationship Id="rId1515" Type="http://schemas.openxmlformats.org/officeDocument/2006/relationships/hyperlink" Target="https://www.linkedin.com/learning/why-motivating-people-doesn-t-work-and-what-does-getabstract-summary" TargetMode="External"/><Relationship Id="rId1722" Type="http://schemas.openxmlformats.org/officeDocument/2006/relationships/hyperlink" Target="https://www.linkedin.com/learning/boost-emotional-intelligence-with-mindfulness" TargetMode="External"/><Relationship Id="rId14" Type="http://schemas.openxmlformats.org/officeDocument/2006/relationships/hyperlink" Target="https://www.linkedin.com/learning/gaining-skills-with-linkedin-learning-2019" TargetMode="External"/><Relationship Id="rId163" Type="http://schemas.openxmlformats.org/officeDocument/2006/relationships/hyperlink" Target="https://www.linkedin.com/learning/business-chemistry-blinkist-summary" TargetMode="External"/><Relationship Id="rId370" Type="http://schemas.openxmlformats.org/officeDocument/2006/relationships/hyperlink" Target="https://www.linkedin.com/learning/jonah-berger-on-viral-marketing/welcome" TargetMode="External"/><Relationship Id="rId230" Type="http://schemas.openxmlformats.org/officeDocument/2006/relationships/hyperlink" Target="https://www.linkedin.com/learning/21-opportunities-for-better-networking" TargetMode="External"/><Relationship Id="rId468" Type="http://schemas.openxmlformats.org/officeDocument/2006/relationships/hyperlink" Target="https://www.linkedin.com/learning/python-for-marketing" TargetMode="External"/><Relationship Id="rId675" Type="http://schemas.openxmlformats.org/officeDocument/2006/relationships/hyperlink" Target="https://www.linkedin.com/learning/r-essential-training-part-2-modeling-data" TargetMode="External"/><Relationship Id="rId882" Type="http://schemas.openxmlformats.org/officeDocument/2006/relationships/hyperlink" Target="https://www.linkedin.com/learning/recruiting-veterans" TargetMode="External"/><Relationship Id="rId1098" Type="http://schemas.openxmlformats.org/officeDocument/2006/relationships/hyperlink" Target="https://www.linkedin.com/learning/how-to-successfully-lead-a-pmo" TargetMode="External"/><Relationship Id="rId328" Type="http://schemas.openxmlformats.org/officeDocument/2006/relationships/hyperlink" Target="https://www.linkedin.com/learning/communicating-with-empathy/welcome" TargetMode="External"/><Relationship Id="rId535" Type="http://schemas.openxmlformats.org/officeDocument/2006/relationships/hyperlink" Target="https://www.linkedin.com/learning/fred-kofman-on-making-commitments" TargetMode="External"/><Relationship Id="rId742" Type="http://schemas.openxmlformats.org/officeDocument/2006/relationships/hyperlink" Target="https://www.linkedin.com/learning/running-a-design-business-writing-and-pricing-winning-proposals" TargetMode="External"/><Relationship Id="rId1165" Type="http://schemas.openxmlformats.org/officeDocument/2006/relationships/hyperlink" Target="https://www.linkedin.com/learning/managing-teams-3" TargetMode="External"/><Relationship Id="rId1372" Type="http://schemas.openxmlformats.org/officeDocument/2006/relationships/hyperlink" Target="https://www.linkedin.com/learning/project-management-foundations-budgets-3" TargetMode="External"/><Relationship Id="rId602" Type="http://schemas.openxmlformats.org/officeDocument/2006/relationships/hyperlink" Target="https://www.linkedin.com/learning/creating-positive-conversations-with-challenging-customers" TargetMode="External"/><Relationship Id="rId1025" Type="http://schemas.openxmlformats.org/officeDocument/2006/relationships/hyperlink" Target="https://www.linkedin.com/learning/change-management-foundations/welcome" TargetMode="External"/><Relationship Id="rId1232" Type="http://schemas.openxmlformats.org/officeDocument/2006/relationships/hyperlink" Target="https://www.linkedin.com/learning/pricing-strategy-explained" TargetMode="External"/><Relationship Id="rId1677" Type="http://schemas.openxmlformats.org/officeDocument/2006/relationships/hyperlink" Target="https://www.linkedin.com/learning/writing-speeches" TargetMode="External"/><Relationship Id="rId907" Type="http://schemas.openxmlformats.org/officeDocument/2006/relationships/hyperlink" Target="https://www.linkedin.com/learning/paths/become-a-cloud-administrator" TargetMode="External"/><Relationship Id="rId1537" Type="http://schemas.openxmlformats.org/officeDocument/2006/relationships/hyperlink" Target="https://www.linkedin.com/learning/human-centered-leadership" TargetMode="External"/><Relationship Id="rId1744" Type="http://schemas.openxmlformats.org/officeDocument/2006/relationships/hyperlink" Target="https://www.linkedin.com/learning/arianna-huffington-s-thrive-06-understanding-the-link-between-giving-and-success" TargetMode="External"/><Relationship Id="rId36" Type="http://schemas.openxmlformats.org/officeDocument/2006/relationships/hyperlink" Target="https://www.linkedin.com/learning/15-secrets-successful-people-know-about-time-management-getabstract-summary" TargetMode="External"/><Relationship Id="rId1604" Type="http://schemas.openxmlformats.org/officeDocument/2006/relationships/hyperlink" Target="https://www.linkedin.com/learning/connecting-with-your-millennial-manager" TargetMode="External"/><Relationship Id="rId185" Type="http://schemas.openxmlformats.org/officeDocument/2006/relationships/hyperlink" Target="https://www.linkedin.com/learning/creating-an-adaptable-team" TargetMode="External"/><Relationship Id="rId392" Type="http://schemas.openxmlformats.org/officeDocument/2006/relationships/hyperlink" Target="https://www.linkedin.com/learning/content-marketing-newsletters-2019" TargetMode="External"/><Relationship Id="rId697" Type="http://schemas.openxmlformats.org/officeDocument/2006/relationships/hyperlink" Target="https://www.linkedin.com/learning/power-bi-data-modeling-with-dax" TargetMode="External"/><Relationship Id="rId252" Type="http://schemas.openxmlformats.org/officeDocument/2006/relationships/hyperlink" Target="https://www.linkedin.com/learning/communication-foundations-2" TargetMode="External"/><Relationship Id="rId1187" Type="http://schemas.openxmlformats.org/officeDocument/2006/relationships/hyperlink" Target="https://www.linkedin.com/learning/managing-up-down-and-across-the-organization" TargetMode="External"/><Relationship Id="rId112" Type="http://schemas.openxmlformats.org/officeDocument/2006/relationships/hyperlink" Target="https://www.linkedin.com/learning/managing-stress-for-positive-change/how-to-use-this-course" TargetMode="External"/><Relationship Id="rId557" Type="http://schemas.openxmlformats.org/officeDocument/2006/relationships/hyperlink" Target="https://www.linkedin.com/learning/project-management-solving-common-project-problems" TargetMode="External"/><Relationship Id="rId764" Type="http://schemas.openxmlformats.org/officeDocument/2006/relationships/hyperlink" Target="https://www.linkedin.com/learning/accounting-foundations-bookkeeping-2" TargetMode="External"/><Relationship Id="rId971" Type="http://schemas.openxmlformats.org/officeDocument/2006/relationships/hyperlink" Target="https://www.linkedin.com/learning/machine-learning-and-ai-foundations-recommendations" TargetMode="External"/><Relationship Id="rId1394" Type="http://schemas.openxmlformats.org/officeDocument/2006/relationships/hyperlink" Target="https://www.linkedin.com/learning/prepare-yourself-for-a-career-in-sales-2020" TargetMode="External"/><Relationship Id="rId1699" Type="http://schemas.openxmlformats.org/officeDocument/2006/relationships/hyperlink" Target="https://www.linkedin.com/learning/well-being-in-the-workplace" TargetMode="External"/><Relationship Id="rId417" Type="http://schemas.openxmlformats.org/officeDocument/2006/relationships/hyperlink" Target="https://www.linkedin.com/learning/business-analytics-marketing-data" TargetMode="External"/><Relationship Id="rId624" Type="http://schemas.openxmlformats.org/officeDocument/2006/relationships/hyperlink" Target="https://www.linkedin.com/learning/machine-learning-ai-advanced-decision-trees" TargetMode="External"/><Relationship Id="rId831" Type="http://schemas.openxmlformats.org/officeDocument/2006/relationships/hyperlink" Target="https://www.linkedin.com/learning/how-to-design-and-deliver-training-programs" TargetMode="External"/><Relationship Id="rId1047" Type="http://schemas.openxmlformats.org/officeDocument/2006/relationships/hyperlink" Target="https://www.linkedin.com/learning/mastering-organizational-chaos" TargetMode="External"/><Relationship Id="rId1254" Type="http://schemas.openxmlformats.org/officeDocument/2006/relationships/hyperlink" Target="https://www.linkedin.com/learning/operational-excellence-work-out-and-kaizen-facilitator" TargetMode="External"/><Relationship Id="rId1461" Type="http://schemas.openxmlformats.org/officeDocument/2006/relationships/hyperlink" Target="https://www.linkedin.com/learning/developing-executive-presence/do-i-have-to-be-fake" TargetMode="External"/><Relationship Id="rId929" Type="http://schemas.openxmlformats.org/officeDocument/2006/relationships/hyperlink" Target="https://www.linkedin.com/learning/working-with-computers-and-devices" TargetMode="External"/><Relationship Id="rId1114" Type="http://schemas.openxmlformats.org/officeDocument/2006/relationships/hyperlink" Target="https://www.linkedin.com/learning/leading-without-formal-authority" TargetMode="External"/><Relationship Id="rId1321" Type="http://schemas.openxmlformats.org/officeDocument/2006/relationships/hyperlink" Target="https://www.linkedin.com/learning/paths/develop-your-project-management-skills" TargetMode="External"/><Relationship Id="rId1559" Type="http://schemas.openxmlformats.org/officeDocument/2006/relationships/hyperlink" Target="https://www.linkedin.com/learning/improving-employee-performance" TargetMode="External"/><Relationship Id="rId1766" Type="http://schemas.openxmlformats.org/officeDocument/2006/relationships/hyperlink" Target="https://www.linkedin.com/learning/balancing-multiple-roles-as-a-leader" TargetMode="External"/><Relationship Id="rId58" Type="http://schemas.openxmlformats.org/officeDocument/2006/relationships/hyperlink" Target="https://www.linkedin.com/learning/powerless-to-powerful-taking-control" TargetMode="External"/><Relationship Id="rId1419" Type="http://schemas.openxmlformats.org/officeDocument/2006/relationships/hyperlink" Target="https://www.linkedin.com/learning/paths/managing-change" TargetMode="External"/><Relationship Id="rId1626" Type="http://schemas.openxmlformats.org/officeDocument/2006/relationships/hyperlink" Target="https://www.linkedin.com/learning/awakening-compassion-at-work-blinkist-summary" TargetMode="External"/><Relationship Id="rId274" Type="http://schemas.openxmlformats.org/officeDocument/2006/relationships/hyperlink" Target="https://www.linkedin.com/learning/jeffrey-gitomer-s-little-red-book-of-sales-answers-getabstract-summary" TargetMode="External"/><Relationship Id="rId481" Type="http://schemas.openxmlformats.org/officeDocument/2006/relationships/hyperlink" Target="https://www.linkedin.com/learning/take-a-more-creative-approach-to-problem-solving" TargetMode="External"/><Relationship Id="rId134" Type="http://schemas.openxmlformats.org/officeDocument/2006/relationships/hyperlink" Target="https://www.linkedin.com/learning/paths/improve-your-teamwork-skills" TargetMode="External"/><Relationship Id="rId579" Type="http://schemas.openxmlformats.org/officeDocument/2006/relationships/hyperlink" Target="https://www.linkedin.com/learning/empathy-for-customer-service-professionals" TargetMode="External"/><Relationship Id="rId786" Type="http://schemas.openxmlformats.org/officeDocument/2006/relationships/hyperlink" Target="https://www.linkedin.com/learning/developing-investment-acumen" TargetMode="External"/><Relationship Id="rId993" Type="http://schemas.openxmlformats.org/officeDocument/2006/relationships/hyperlink" Target="https://www.linkedin.com/learning/learning-design-thinking-lead-change-in-your-organization" TargetMode="External"/><Relationship Id="rId341" Type="http://schemas.openxmlformats.org/officeDocument/2006/relationships/hyperlink" Target="https://www.linkedin.com/learning/taking-your-leadership-to-a-higher-level" TargetMode="External"/><Relationship Id="rId439" Type="http://schemas.openxmlformats.org/officeDocument/2006/relationships/hyperlink" Target="https://www.linkedin.com/learning/seo-ecommerce-strategies-revision-2020" TargetMode="External"/><Relationship Id="rId646" Type="http://schemas.openxmlformats.org/officeDocument/2006/relationships/hyperlink" Target="https://www.linkedin.com/learning/excel-statistics-essential-training-1" TargetMode="External"/><Relationship Id="rId1069" Type="http://schemas.openxmlformats.org/officeDocument/2006/relationships/hyperlink" Target="https://www.linkedin.com/learning/become-a-courageous-female-leader" TargetMode="External"/><Relationship Id="rId1276" Type="http://schemas.openxmlformats.org/officeDocument/2006/relationships/hyperlink" Target="https://www.linkedin.com/learning/learning-powerpoint-2019" TargetMode="External"/><Relationship Id="rId1483" Type="http://schemas.openxmlformats.org/officeDocument/2006/relationships/hyperlink" Target="https://www.linkedin.com/learning/succession-planning" TargetMode="External"/><Relationship Id="rId201" Type="http://schemas.openxmlformats.org/officeDocument/2006/relationships/hyperlink" Target="https://www.linkedin.com/learning/effective-listening" TargetMode="External"/><Relationship Id="rId506" Type="http://schemas.openxmlformats.org/officeDocument/2006/relationships/hyperlink" Target="https://www.linkedin.com/learning/defining-your-creative-edge-to-promote-your-work" TargetMode="External"/><Relationship Id="rId853" Type="http://schemas.openxmlformats.org/officeDocument/2006/relationships/hyperlink" Target="https://www.linkedin.com/learning/letting-an-employee-go-2019" TargetMode="External"/><Relationship Id="rId1136" Type="http://schemas.openxmlformats.org/officeDocument/2006/relationships/hyperlink" Target="https://www.linkedin.com/learning/paths/become-a-manager" TargetMode="External"/><Relationship Id="rId1690" Type="http://schemas.openxmlformats.org/officeDocument/2006/relationships/hyperlink" Target="https://www.linkedin.com/learning/driving-measurable-sustainable-change" TargetMode="External"/><Relationship Id="rId713" Type="http://schemas.openxmlformats.org/officeDocument/2006/relationships/hyperlink" Target="https://www.linkedin.com/learning/the-data-science-of-experimental-design" TargetMode="External"/><Relationship Id="rId920" Type="http://schemas.openxmlformats.org/officeDocument/2006/relationships/hyperlink" Target="https://www.linkedin.com/learning/artificial-intelligence-foundations-thinking-machines" TargetMode="External"/><Relationship Id="rId1343" Type="http://schemas.openxmlformats.org/officeDocument/2006/relationships/hyperlink" Target="https://www.linkedin.com/learning/project-management-tips" TargetMode="External"/><Relationship Id="rId1550" Type="http://schemas.openxmlformats.org/officeDocument/2006/relationships/hyperlink" Target="https://www.linkedin.com/learning/managing-high-performers" TargetMode="External"/><Relationship Id="rId1648" Type="http://schemas.openxmlformats.org/officeDocument/2006/relationships/hyperlink" Target="https://www.linkedin.com/learning/editing-mastery-how-to-edit-writing-to-perfection" TargetMode="External"/><Relationship Id="rId1203" Type="http://schemas.openxmlformats.org/officeDocument/2006/relationships/hyperlink" Target="https://www.linkedin.com/learning/paths/improve-processes-and-deliver-operational-excellence" TargetMode="External"/><Relationship Id="rId1410" Type="http://schemas.openxmlformats.org/officeDocument/2006/relationships/hyperlink" Target="https://www.linkedin.com/learning/aligning-sales-and-marketing" TargetMode="External"/><Relationship Id="rId1508" Type="http://schemas.openxmlformats.org/officeDocument/2006/relationships/hyperlink" Target="https://www.linkedin.com/learning/giving-and-receiving-feedback" TargetMode="External"/><Relationship Id="rId1715" Type="http://schemas.openxmlformats.org/officeDocument/2006/relationships/hyperlink" Target="https://www.linkedin.com/learning/setting-limits-with-your-smartphone" TargetMode="External"/><Relationship Id="rId296" Type="http://schemas.openxmlformats.org/officeDocument/2006/relationships/hyperlink" Target="https://www.linkedin.com/learning/body-language-for-leaders-2019" TargetMode="External"/><Relationship Id="rId156" Type="http://schemas.openxmlformats.org/officeDocument/2006/relationships/hyperlink" Target="https://www.linkedin.com/learning/improving-employee-performance" TargetMode="External"/><Relationship Id="rId363" Type="http://schemas.openxmlformats.org/officeDocument/2006/relationships/hyperlink" Target="https://www.linkedin.com/learning/advanced-content-marketing" TargetMode="External"/><Relationship Id="rId570" Type="http://schemas.openxmlformats.org/officeDocument/2006/relationships/hyperlink" Target="https://www.linkedin.com/learning/delivering-bad-news-to-a-customer" TargetMode="External"/><Relationship Id="rId223" Type="http://schemas.openxmlformats.org/officeDocument/2006/relationships/hyperlink" Target="https://www.linkedin.com/learning/why-trust-matters-with-rachel-botsman" TargetMode="External"/><Relationship Id="rId430" Type="http://schemas.openxmlformats.org/officeDocument/2006/relationships/hyperlink" Target="https://www.linkedin.com/learning/learning-logo-design,https:/www.linkedin.com/learning/learning-logo-design-revision" TargetMode="External"/><Relationship Id="rId668" Type="http://schemas.openxmlformats.org/officeDocument/2006/relationships/hyperlink" Target="https://www.linkedin.com/learning/r-essential-training-part-1-wrangling-and-visualizing-data" TargetMode="External"/><Relationship Id="rId875" Type="http://schemas.openxmlformats.org/officeDocument/2006/relationships/hyperlink" Target="https://www.linkedin.com/learning/human-resources-job-structure-and-design" TargetMode="External"/><Relationship Id="rId1060" Type="http://schemas.openxmlformats.org/officeDocument/2006/relationships/hyperlink" Target="https://www.linkedin.com/learning/ryan-holmes-on-social-leadership" TargetMode="External"/><Relationship Id="rId1298" Type="http://schemas.openxmlformats.org/officeDocument/2006/relationships/hyperlink" Target="https://www.linkedin.com/learning/how-to-create-and-run-a-brilliant-remote-workshop-uk" TargetMode="External"/><Relationship Id="rId528" Type="http://schemas.openxmlformats.org/officeDocument/2006/relationships/hyperlink" Target="https://www.linkedin.com/learning/critical-thinking" TargetMode="External"/><Relationship Id="rId735" Type="http://schemas.openxmlformats.org/officeDocument/2006/relationships/hyperlink" Target="https://www.linkedin.com/learning/cert-prep-adobe-certified-associate-indesign-revision" TargetMode="External"/><Relationship Id="rId942" Type="http://schemas.openxmlformats.org/officeDocument/2006/relationships/hyperlink" Target="https://www.linkedin.com/learning/first-look-python-3-9" TargetMode="External"/><Relationship Id="rId1158" Type="http://schemas.openxmlformats.org/officeDocument/2006/relationships/hyperlink" Target="https://www.linkedin.com/learning/just-ask-todd-dewett-on-management-and-leadership" TargetMode="External"/><Relationship Id="rId1365" Type="http://schemas.openxmlformats.org/officeDocument/2006/relationships/hyperlink" Target="https://www.linkedin.com/learning/how-to-successfully-lead-a-pmo" TargetMode="External"/><Relationship Id="rId1572" Type="http://schemas.openxmlformats.org/officeDocument/2006/relationships/hyperlink" Target="https://www.linkedin.com/learning/measuring-team-performance" TargetMode="External"/><Relationship Id="rId1018" Type="http://schemas.openxmlformats.org/officeDocument/2006/relationships/hyperlink" Target="https://www.linkedin.com/learning/a-manager-s-toolkit-for-supporting-change" TargetMode="External"/><Relationship Id="rId1225" Type="http://schemas.openxmlformats.org/officeDocument/2006/relationships/hyperlink" Target="https://www.linkedin.com/learning/workplace-visualization" TargetMode="External"/><Relationship Id="rId1432" Type="http://schemas.openxmlformats.org/officeDocument/2006/relationships/hyperlink" Target="https://www.linkedin.com/learning/developing-a-competitive-strategy" TargetMode="External"/><Relationship Id="rId71" Type="http://schemas.openxmlformats.org/officeDocument/2006/relationships/hyperlink" Target="https://www.linkedin.com/learning/balancing-work-and-life-as-a-work-from-home-parent" TargetMode="External"/><Relationship Id="rId802" Type="http://schemas.openxmlformats.org/officeDocument/2006/relationships/hyperlink" Target="https://www.linkedin.com/learning/financial-analysis-making-business-projections" TargetMode="External"/><Relationship Id="rId1737" Type="http://schemas.openxmlformats.org/officeDocument/2006/relationships/hyperlink" Target="https://www.linkedin.com/learning/arianna-huffington-s-thrive-05-igniting-joy-through-presence-and-wonder" TargetMode="External"/><Relationship Id="rId29" Type="http://schemas.openxmlformats.org/officeDocument/2006/relationships/hyperlink" Target="https://www.linkedin.com/learning/time-management-tips-teamwork-2019" TargetMode="External"/><Relationship Id="rId178" Type="http://schemas.openxmlformats.org/officeDocument/2006/relationships/hyperlink" Target="https://www.linkedin.com/learning/practicing-fairness-as-a-manager" TargetMode="External"/><Relationship Id="rId385" Type="http://schemas.openxmlformats.org/officeDocument/2006/relationships/hyperlink" Target="https://www.linkedin.com/learning/marketing-programs-that-power-customer-acquisition" TargetMode="External"/><Relationship Id="rId592" Type="http://schemas.openxmlformats.org/officeDocument/2006/relationships/hyperlink" Target="https://www.linkedin.com/learning/customer-service-in-the-field" TargetMode="External"/><Relationship Id="rId245" Type="http://schemas.openxmlformats.org/officeDocument/2006/relationships/hyperlink" Target="https://www.linkedin.com/learning/paths/fostering-collaboration" TargetMode="External"/><Relationship Id="rId452" Type="http://schemas.openxmlformats.org/officeDocument/2006/relationships/hyperlink" Target="https://www.linkedin.com/learning/building-and-managing-signature-products" TargetMode="External"/><Relationship Id="rId897" Type="http://schemas.openxmlformats.org/officeDocument/2006/relationships/hyperlink" Target="https://www.linkedin.com/learning/penetration-testing-advanced-web-testing" TargetMode="External"/><Relationship Id="rId1082" Type="http://schemas.openxmlformats.org/officeDocument/2006/relationships/hyperlink" Target="https://www.linkedin.com/learning/establishing-work-from-home-policies" TargetMode="External"/><Relationship Id="rId105" Type="http://schemas.openxmlformats.org/officeDocument/2006/relationships/hyperlink" Target="https://www.linkedin.com/learning/embracing-unexpected-change" TargetMode="External"/><Relationship Id="rId312" Type="http://schemas.openxmlformats.org/officeDocument/2006/relationships/hyperlink" Target="https://www.linkedin.com/learning/communicating-with-diplomacy-and-tact" TargetMode="External"/><Relationship Id="rId757" Type="http://schemas.openxmlformats.org/officeDocument/2006/relationships/hyperlink" Target="https://www.linkedin.com/learning/paths/become-a-financial-analyst" TargetMode="External"/><Relationship Id="rId964" Type="http://schemas.openxmlformats.org/officeDocument/2006/relationships/hyperlink" Target="https://www.linkedin.com/learning/jenkins-essential-training" TargetMode="External"/><Relationship Id="rId1387" Type="http://schemas.openxmlformats.org/officeDocument/2006/relationships/hyperlink" Target="https://www.linkedin.com/learning/customer-success-management-fundamentals" TargetMode="External"/><Relationship Id="rId1594" Type="http://schemas.openxmlformats.org/officeDocument/2006/relationships/hyperlink" Target="https://www.linkedin.com/learning/women-transforming-tech-negotiation" TargetMode="External"/><Relationship Id="rId93" Type="http://schemas.openxmlformats.org/officeDocument/2006/relationships/hyperlink" Target="https://www.linkedin.com/learning/sheryl-sandberg-and-adam-grant-on-option-b-building-resilience" TargetMode="External"/><Relationship Id="rId617" Type="http://schemas.openxmlformats.org/officeDocument/2006/relationships/hyperlink" Target="https://www.linkedin.com/learning/customer-service-serving-customers-through-chat-and-text" TargetMode="External"/><Relationship Id="rId824" Type="http://schemas.openxmlformats.org/officeDocument/2006/relationships/hyperlink" Target="https://www.linkedin.com/learning/succession-planning" TargetMode="External"/><Relationship Id="rId1247" Type="http://schemas.openxmlformats.org/officeDocument/2006/relationships/hyperlink" Target="https://www.linkedin.com/learning/building-and-managing-signature-products" TargetMode="External"/><Relationship Id="rId1454" Type="http://schemas.openxmlformats.org/officeDocument/2006/relationships/hyperlink" Target="https://www.linkedin.com/learning/leading-with-next-generation-kpis-with-michael-schrage" TargetMode="External"/><Relationship Id="rId1661" Type="http://schemas.openxmlformats.org/officeDocument/2006/relationships/hyperlink" Target="https://www.linkedin.com/learning/technical-writing-quick-start-guides" TargetMode="External"/><Relationship Id="rId1107" Type="http://schemas.openxmlformats.org/officeDocument/2006/relationships/hyperlink" Target="https://www.linkedin.com/learning/leadership-blind-spots" TargetMode="External"/><Relationship Id="rId1314" Type="http://schemas.openxmlformats.org/officeDocument/2006/relationships/hyperlink" Target="https://www.linkedin.com/learning/making-great-sales-presentations" TargetMode="External"/><Relationship Id="rId1521" Type="http://schemas.openxmlformats.org/officeDocument/2006/relationships/hyperlink" Target="https://www.linkedin.com/learning/building-high-performance-teams" TargetMode="External"/><Relationship Id="rId1759" Type="http://schemas.openxmlformats.org/officeDocument/2006/relationships/hyperlink" Target="https://www.linkedin.com/learning/managing-anxiety-in-the-workplace" TargetMode="External"/><Relationship Id="rId1619" Type="http://schemas.openxmlformats.org/officeDocument/2006/relationships/hyperlink" Target="https://www.linkedin.com/learning/bystander-training-from-bystander-to-upstander" TargetMode="External"/><Relationship Id="rId20" Type="http://schemas.openxmlformats.org/officeDocument/2006/relationships/hyperlink" Target="https://www.linkedin.com/learning/overcoming-procrastination-2" TargetMode="External"/><Relationship Id="rId267" Type="http://schemas.openxmlformats.org/officeDocument/2006/relationships/hyperlink" Target="https://www.linkedin.com/learning/women-transforming-tech-networking" TargetMode="External"/><Relationship Id="rId474" Type="http://schemas.openxmlformats.org/officeDocument/2006/relationships/hyperlink" Target="https://www.linkedin.com/learning/business-innovation-foundations" TargetMode="External"/><Relationship Id="rId127" Type="http://schemas.openxmlformats.org/officeDocument/2006/relationships/hyperlink" Target="https://www.linkedin.com/learning/developing-adaptability-as-a-manager/predicting-and-planning-amidst-uncertainty" TargetMode="External"/><Relationship Id="rId681" Type="http://schemas.openxmlformats.org/officeDocument/2006/relationships/hyperlink" Target="https://www.linkedin.com/learning/design-thinking-data-intelligence" TargetMode="External"/><Relationship Id="rId779" Type="http://schemas.openxmlformats.org/officeDocument/2006/relationships/hyperlink" Target="https://www.linkedin.com/learning/financial-accounting-foundations" TargetMode="External"/><Relationship Id="rId986" Type="http://schemas.openxmlformats.org/officeDocument/2006/relationships/hyperlink" Target="https://www.linkedin.com/learning/business-innovation-foundations" TargetMode="External"/><Relationship Id="rId334" Type="http://schemas.openxmlformats.org/officeDocument/2006/relationships/hyperlink" Target="https://www.linkedin.com/learning/dealing-with-difficult-people-in-your-office" TargetMode="External"/><Relationship Id="rId541" Type="http://schemas.openxmlformats.org/officeDocument/2006/relationships/hyperlink" Target="https://www.linkedin.com/learning/problem-solving-techniques" TargetMode="External"/><Relationship Id="rId639" Type="http://schemas.openxmlformats.org/officeDocument/2006/relationships/hyperlink" Target="https://www.linkedin.com/learning/the-data-science-of-retail-sales-and-commerce" TargetMode="External"/><Relationship Id="rId1171" Type="http://schemas.openxmlformats.org/officeDocument/2006/relationships/hyperlink" Target="https://www.linkedin.com/learning/advice-for-leaders-during-a-crisis" TargetMode="External"/><Relationship Id="rId1269" Type="http://schemas.openxmlformats.org/officeDocument/2006/relationships/hyperlink" Target="https://www.linkedin.com/learning/sap-bi-bw-project-design-and-implementation" TargetMode="External"/><Relationship Id="rId1476" Type="http://schemas.openxmlformats.org/officeDocument/2006/relationships/hyperlink" Target="https://www.linkedin.com/learning/balancing-innovation-and-risk" TargetMode="External"/><Relationship Id="rId401" Type="http://schemas.openxmlformats.org/officeDocument/2006/relationships/hyperlink" Target="https://www.linkedin.com/learning/learning-google-adsense-2019" TargetMode="External"/><Relationship Id="rId846" Type="http://schemas.openxmlformats.org/officeDocument/2006/relationships/hyperlink" Target="https://www.linkedin.com/learning/ux-foundations-career-management" TargetMode="External"/><Relationship Id="rId1031" Type="http://schemas.openxmlformats.org/officeDocument/2006/relationships/hyperlink" Target="https://www.linkedin.com/learning/risk-taking-for-leaders" TargetMode="External"/><Relationship Id="rId1129" Type="http://schemas.openxmlformats.org/officeDocument/2006/relationships/hyperlink" Target="https://www.linkedin.com/learning/leading-change-in-large-distributed-organizations" TargetMode="External"/><Relationship Id="rId1683" Type="http://schemas.openxmlformats.org/officeDocument/2006/relationships/hyperlink" Target="https://www.linkedin.com/learning/running-a-design-business-writing-and-pricing-winning-proposals" TargetMode="External"/><Relationship Id="rId706" Type="http://schemas.openxmlformats.org/officeDocument/2006/relationships/hyperlink" Target="https://www.linkedin.com/learning/sap-erp-beyond-the-basics" TargetMode="External"/><Relationship Id="rId913" Type="http://schemas.openxmlformats.org/officeDocument/2006/relationships/hyperlink" Target="https://www.linkedin.com/learning/aws-administration-tips-and-tricks" TargetMode="External"/><Relationship Id="rId1336" Type="http://schemas.openxmlformats.org/officeDocument/2006/relationships/hyperlink" Target="https://www.linkedin.com/learning/project-management-foundations-teams-2019" TargetMode="External"/><Relationship Id="rId1543" Type="http://schemas.openxmlformats.org/officeDocument/2006/relationships/hyperlink" Target="https://www.linkedin.com/learning/getting-your-talent-to-bring-their-best-ideas-to-work" TargetMode="External"/><Relationship Id="rId1750" Type="http://schemas.openxmlformats.org/officeDocument/2006/relationships/hyperlink" Target="https://www.linkedin.com/learning/balancing-work-and-life-as-a-work-from-home-parent" TargetMode="External"/><Relationship Id="rId42" Type="http://schemas.openxmlformats.org/officeDocument/2006/relationships/hyperlink" Target="https://www.linkedin.com/learning/productivity-prioritizing-at-work" TargetMode="External"/><Relationship Id="rId1403" Type="http://schemas.openxmlformats.org/officeDocument/2006/relationships/hyperlink" Target="https://www.linkedin.com/learning/how-to-tell-stories-that-win-market-share" TargetMode="External"/><Relationship Id="rId1610" Type="http://schemas.openxmlformats.org/officeDocument/2006/relationships/hyperlink" Target="https://www.linkedin.com/learning/the-science-of-compassion-getting-started" TargetMode="External"/><Relationship Id="rId191" Type="http://schemas.openxmlformats.org/officeDocument/2006/relationships/hyperlink" Target="https://www.linkedin.com/learning/how-to-build-rapport-quickly" TargetMode="External"/><Relationship Id="rId1708" Type="http://schemas.openxmlformats.org/officeDocument/2006/relationships/hyperlink" Target="https://www.linkedin.com/learning/overcoming-impostor-syndrome" TargetMode="External"/><Relationship Id="rId289" Type="http://schemas.openxmlformats.org/officeDocument/2006/relationships/hyperlink" Target="https://www.linkedin.com/learning/selling-to-executives/next-steps" TargetMode="External"/><Relationship Id="rId496" Type="http://schemas.openxmlformats.org/officeDocument/2006/relationships/hyperlink" Target="https://www.linkedin.com/learning/applied-curiosity" TargetMode="External"/><Relationship Id="rId149" Type="http://schemas.openxmlformats.org/officeDocument/2006/relationships/hyperlink" Target="https://www.linkedin.com/learning/the-six-morning-habits-of-high-performers" TargetMode="External"/><Relationship Id="rId356" Type="http://schemas.openxmlformats.org/officeDocument/2006/relationships/hyperlink" Target="https://www.linkedin.com/learning/advanced-seo-search-factors-2019" TargetMode="External"/><Relationship Id="rId563" Type="http://schemas.openxmlformats.org/officeDocument/2006/relationships/hyperlink" Target="https://www.linkedin.com/learning/paths/become-a-customer-service-specialist" TargetMode="External"/><Relationship Id="rId770" Type="http://schemas.openxmlformats.org/officeDocument/2006/relationships/hyperlink" Target="https://www.linkedin.com/learning/running-a-profitable-business-understanding-cash-flow" TargetMode="External"/><Relationship Id="rId1193" Type="http://schemas.openxmlformats.org/officeDocument/2006/relationships/hyperlink" Target="https://www.linkedin.com/learning/succeeding-as-a-leader-in-tech" TargetMode="External"/><Relationship Id="rId216" Type="http://schemas.openxmlformats.org/officeDocument/2006/relationships/hyperlink" Target="https://www.linkedin.com/learning/building-trust-6" TargetMode="External"/><Relationship Id="rId423" Type="http://schemas.openxmlformats.org/officeDocument/2006/relationships/hyperlink" Target="https://www.linkedin.com/learning/marketing-on-facebook-2020" TargetMode="External"/><Relationship Id="rId868" Type="http://schemas.openxmlformats.org/officeDocument/2006/relationships/hyperlink" Target="https://www.linkedin.com/learning/finding-and-retaining-high-potentials" TargetMode="External"/><Relationship Id="rId1053" Type="http://schemas.openxmlformats.org/officeDocument/2006/relationships/hyperlink" Target="https://www.linkedin.com/learning/fred-kofman-on-accountability" TargetMode="External"/><Relationship Id="rId1260" Type="http://schemas.openxmlformats.org/officeDocument/2006/relationships/hyperlink" Target="https://www.linkedin.com/learning/evaluating-business-investment-decisions" TargetMode="External"/><Relationship Id="rId1498" Type="http://schemas.openxmlformats.org/officeDocument/2006/relationships/hyperlink" Target="https://www.linkedin.com/learning/lean-technology-strategy-building-high-performing-teams" TargetMode="External"/><Relationship Id="rId630" Type="http://schemas.openxmlformats.org/officeDocument/2006/relationships/hyperlink" Target="https://www.linkedin.com/learning/excel-vba-managing-files-and-data-revision" TargetMode="External"/><Relationship Id="rId728" Type="http://schemas.openxmlformats.org/officeDocument/2006/relationships/hyperlink" Target="https://www.linkedin.com/learning/articulate-storyline-essential-training-2020" TargetMode="External"/><Relationship Id="rId935" Type="http://schemas.openxmlformats.org/officeDocument/2006/relationships/hyperlink" Target="https://www.linkedin.com/learning/applied-machine-learning-foundations" TargetMode="External"/><Relationship Id="rId1358" Type="http://schemas.openxmlformats.org/officeDocument/2006/relationships/hyperlink" Target="https://www.linkedin.com/learning/what-is-scrum" TargetMode="External"/><Relationship Id="rId1565" Type="http://schemas.openxmlformats.org/officeDocument/2006/relationships/hyperlink" Target="https://www.linkedin.com/learning/managing-for-results-2020,https:/www.linkedin.com/learning/managing-for-results-4" TargetMode="External"/><Relationship Id="rId64" Type="http://schemas.openxmlformats.org/officeDocument/2006/relationships/hyperlink" Target="https://www.linkedin.com/learning/demonstrating-accountabilty-as-a-leader" TargetMode="External"/><Relationship Id="rId1120" Type="http://schemas.openxmlformats.org/officeDocument/2006/relationships/hyperlink" Target="https://www.linkedin.com/learning/lessons-in-enlightened-leadership" TargetMode="External"/><Relationship Id="rId1218" Type="http://schemas.openxmlformats.org/officeDocument/2006/relationships/hyperlink" Target="https://www.linkedin.com/learning/operations-management-foundations" TargetMode="External"/><Relationship Id="rId1425" Type="http://schemas.openxmlformats.org/officeDocument/2006/relationships/hyperlink" Target="https://www.linkedin.com/learning/digital-strategy" TargetMode="External"/><Relationship Id="rId1632" Type="http://schemas.openxmlformats.org/officeDocument/2006/relationships/hyperlink" Target="https://www.linkedin.com/learning/leading-inclusive-teams" TargetMode="External"/><Relationship Id="rId280" Type="http://schemas.openxmlformats.org/officeDocument/2006/relationships/hyperlink" Target="https://www.linkedin.com/learning/the-science-of-compassion-the-upward-spiral-of-compassion" TargetMode="External"/><Relationship Id="rId140" Type="http://schemas.openxmlformats.org/officeDocument/2006/relationships/hyperlink" Target="https://www.linkedin.com/learning/leading-inclusive-teams" TargetMode="External"/><Relationship Id="rId378" Type="http://schemas.openxmlformats.org/officeDocument/2006/relationships/hyperlink" Target="https://www.linkedin.com/learning/power-bi-for-marketers" TargetMode="External"/><Relationship Id="rId585" Type="http://schemas.openxmlformats.org/officeDocument/2006/relationships/hyperlink" Target="https://www.linkedin.com/learning/engagement-preparation-best-practices-for-customer-success-management" TargetMode="External"/><Relationship Id="rId792" Type="http://schemas.openxmlformats.org/officeDocument/2006/relationships/hyperlink" Target="https://www.linkedin.com/learning/lean-accounting-foundations" TargetMode="External"/><Relationship Id="rId6" Type="http://schemas.openxmlformats.org/officeDocument/2006/relationships/hyperlink" Target="https://www.linkedin.com/learning/paths/building-accountability-and-becoming-results-oriented" TargetMode="External"/><Relationship Id="rId238" Type="http://schemas.openxmlformats.org/officeDocument/2006/relationships/hyperlink" Target="https://www.linkedin.com/learning/employee-experience" TargetMode="External"/><Relationship Id="rId445" Type="http://schemas.openxmlformats.org/officeDocument/2006/relationships/hyperlink" Target="https://www.linkedin.com/learning/b2b-marketing-foundations-positioning" TargetMode="External"/><Relationship Id="rId652" Type="http://schemas.openxmlformats.org/officeDocument/2006/relationships/hyperlink" Target="https://www.linkedin.com/learning/learning-excel-data-analysis-2" TargetMode="External"/><Relationship Id="rId1075" Type="http://schemas.openxmlformats.org/officeDocument/2006/relationships/hyperlink" Target="https://www.linkedin.com/learning/leading-with-innovation/welcome" TargetMode="External"/><Relationship Id="rId1282" Type="http://schemas.openxmlformats.org/officeDocument/2006/relationships/hyperlink" Target="https://www.linkedin.com/learning/public-speaking-energise-and-engage-your-audience" TargetMode="External"/><Relationship Id="rId305" Type="http://schemas.openxmlformats.org/officeDocument/2006/relationships/hyperlink" Target="https://www.linkedin.com/learning/17-pr-mistakes-to-avoid" TargetMode="External"/><Relationship Id="rId512" Type="http://schemas.openxmlformats.org/officeDocument/2006/relationships/hyperlink" Target="https://www.linkedin.com/learning/creativity-and-learning-a-conversation-with-lynda-barry" TargetMode="External"/><Relationship Id="rId957" Type="http://schemas.openxmlformats.org/officeDocument/2006/relationships/hyperlink" Target="https://www.linkedin.com/learning/content/425902?u=104" TargetMode="External"/><Relationship Id="rId1142" Type="http://schemas.openxmlformats.org/officeDocument/2006/relationships/hyperlink" Target="https://www.linkedin.com/learning/new-manager-foundations-2" TargetMode="External"/><Relationship Id="rId1587" Type="http://schemas.openxmlformats.org/officeDocument/2006/relationships/hyperlink" Target="https://www.linkedin.com/learning/confronting-bias-thriving-across-our-differences" TargetMode="External"/><Relationship Id="rId86" Type="http://schemas.openxmlformats.org/officeDocument/2006/relationships/hyperlink" Target="https://www.linkedin.com/learning/building-resilience" TargetMode="External"/><Relationship Id="rId817" Type="http://schemas.openxmlformats.org/officeDocument/2006/relationships/hyperlink" Target="https://www.linkedin.com/learning/human-resources-leadership-and-strategic-impact/efficiency-effectiveness-and-impact" TargetMode="External"/><Relationship Id="rId1002" Type="http://schemas.openxmlformats.org/officeDocument/2006/relationships/hyperlink" Target="https://www.linkedin.com/learning/advocating-for-change-in-your-organization" TargetMode="External"/><Relationship Id="rId1447" Type="http://schemas.openxmlformats.org/officeDocument/2006/relationships/hyperlink" Target="https://www.linkedin.com/learning/emily-cohen-brutal-honesty-as-a-business-strategy" TargetMode="External"/><Relationship Id="rId1654" Type="http://schemas.openxmlformats.org/officeDocument/2006/relationships/hyperlink" Target="https://www.linkedin.com/learning/writing-case-studies" TargetMode="External"/><Relationship Id="rId1307" Type="http://schemas.openxmlformats.org/officeDocument/2006/relationships/hyperlink" Target="https://www.linkedin.com/learning/delivery-tips-for-speaking-in-public" TargetMode="External"/><Relationship Id="rId1514" Type="http://schemas.openxmlformats.org/officeDocument/2006/relationships/hyperlink" Target="https://www.linkedin.com/learning/how-to-be-a-good-mentee-and-mentor" TargetMode="External"/><Relationship Id="rId1721" Type="http://schemas.openxmlformats.org/officeDocument/2006/relationships/hyperlink" Target="https://www.linkedin.com/learning/sky-yogi-relax-and-stretch-for-a-better-flight" TargetMode="External"/><Relationship Id="rId13" Type="http://schemas.openxmlformats.org/officeDocument/2006/relationships/hyperlink" Target="https://www.linkedin.com/learning/fred-kofman-on-making-commitments" TargetMode="External"/><Relationship Id="rId162" Type="http://schemas.openxmlformats.org/officeDocument/2006/relationships/hyperlink" Target="https://www.linkedin.com/learning/why-motivating-people-doesn-t-work-and-what-does-getabstract-summary" TargetMode="External"/><Relationship Id="rId467" Type="http://schemas.openxmlformats.org/officeDocument/2006/relationships/hyperlink" Target="https://www.linkedin.com/learning/aligning-sales-and-marketing" TargetMode="External"/><Relationship Id="rId1097" Type="http://schemas.openxmlformats.org/officeDocument/2006/relationships/hyperlink" Target="https://www.linkedin.com/learning/leadership-skills-for-the-future" TargetMode="External"/><Relationship Id="rId674" Type="http://schemas.openxmlformats.org/officeDocument/2006/relationships/hyperlink" Target="https://www.linkedin.com/learning/statistics-foundations-2" TargetMode="External"/><Relationship Id="rId881" Type="http://schemas.openxmlformats.org/officeDocument/2006/relationships/hyperlink" Target="https://www.linkedin.com/learning/performance-based-hiring/marketing-jobs-for-top-talent" TargetMode="External"/><Relationship Id="rId979" Type="http://schemas.openxmlformats.org/officeDocument/2006/relationships/hyperlink" Target="https://www.linkedin.com/learning/paths/leading-during-times-of-change" TargetMode="External"/><Relationship Id="rId327" Type="http://schemas.openxmlformats.org/officeDocument/2006/relationships/hyperlink" Target="https://www.linkedin.com/learning/dealing-with-disappointment-in-your-role" TargetMode="External"/><Relationship Id="rId534" Type="http://schemas.openxmlformats.org/officeDocument/2006/relationships/hyperlink" Target="https://www.linkedin.com/learning/enhancing-your-productivity" TargetMode="External"/><Relationship Id="rId741" Type="http://schemas.openxmlformats.org/officeDocument/2006/relationships/hyperlink" Target="https://www.linkedin.com/learning/technology-ethics" TargetMode="External"/><Relationship Id="rId839" Type="http://schemas.openxmlformats.org/officeDocument/2006/relationships/hyperlink" Target="https://www.linkedin.com/learning/introduction-to-employee-relations-cipd-aligned" TargetMode="External"/><Relationship Id="rId1164" Type="http://schemas.openxmlformats.org/officeDocument/2006/relationships/hyperlink" Target="https://www.linkedin.com/learning/management-top-tips/listening-and-asking-questions" TargetMode="External"/><Relationship Id="rId1371" Type="http://schemas.openxmlformats.org/officeDocument/2006/relationships/hyperlink" Target="https://www.linkedin.com/learning/product-management-building-a-product-roadmap" TargetMode="External"/><Relationship Id="rId1469" Type="http://schemas.openxmlformats.org/officeDocument/2006/relationships/hyperlink" Target="https://www.linkedin.com/learning/leading-from-the-middle" TargetMode="External"/><Relationship Id="rId601" Type="http://schemas.openxmlformats.org/officeDocument/2006/relationships/hyperlink" Target="https://www.linkedin.com/learning/creating-a-positive-customer-experience" TargetMode="External"/><Relationship Id="rId1024" Type="http://schemas.openxmlformats.org/officeDocument/2006/relationships/hyperlink" Target="https://www.linkedin.com/learning/building-resilience-as-a-leader" TargetMode="External"/><Relationship Id="rId1231" Type="http://schemas.openxmlformats.org/officeDocument/2006/relationships/hyperlink" Target="https://www.linkedin.com/learning/evaluating-and-evolving-your-business-model" TargetMode="External"/><Relationship Id="rId1676" Type="http://schemas.openxmlformats.org/officeDocument/2006/relationships/hyperlink" Target="https://www.linkedin.com/learning/writing-recommendations" TargetMode="External"/><Relationship Id="rId906" Type="http://schemas.openxmlformats.org/officeDocument/2006/relationships/hyperlink" Target="https://www.linkedin.com/learning/learning-java-applications-2" TargetMode="External"/><Relationship Id="rId1329" Type="http://schemas.openxmlformats.org/officeDocument/2006/relationships/hyperlink" Target="https://www.linkedin.com/learning/project-management-foundations-quality" TargetMode="External"/><Relationship Id="rId1536" Type="http://schemas.openxmlformats.org/officeDocument/2006/relationships/hyperlink" Target="https://www.linkedin.com/learning/a-toolkit-for-giving-and-receiving-better-feedback" TargetMode="External"/><Relationship Id="rId1743" Type="http://schemas.openxmlformats.org/officeDocument/2006/relationships/hyperlink" Target="https://www.linkedin.com/learning/creating-an-amazing-life" TargetMode="External"/><Relationship Id="rId35" Type="http://schemas.openxmlformats.org/officeDocument/2006/relationships/hyperlink" Target="https://www.linkedin.com/learning/building-a-better-to-do-list" TargetMode="External"/><Relationship Id="rId1603" Type="http://schemas.openxmlformats.org/officeDocument/2006/relationships/hyperlink" Target="https://www.linkedin.com/learning/finding-and-doing-the-one-thing" TargetMode="External"/><Relationship Id="rId184" Type="http://schemas.openxmlformats.org/officeDocument/2006/relationships/hyperlink" Target="https://www.linkedin.com/learning/creating-winning-teams" TargetMode="External"/><Relationship Id="rId391" Type="http://schemas.openxmlformats.org/officeDocument/2006/relationships/hyperlink" Target="https://www.linkedin.com/learning/advertising-on-facebook-2019" TargetMode="External"/><Relationship Id="rId251" Type="http://schemas.openxmlformats.org/officeDocument/2006/relationships/hyperlink" Target="https://www.linkedin.com/learning/communicating-with-empathy" TargetMode="External"/><Relationship Id="rId489" Type="http://schemas.openxmlformats.org/officeDocument/2006/relationships/hyperlink" Target="https://www.linkedin.com/learning/agile-software-development-creating-an-agile-culture" TargetMode="External"/><Relationship Id="rId696" Type="http://schemas.openxmlformats.org/officeDocument/2006/relationships/hyperlink" Target="https://www.linkedin.com/learning/storytelling-with-data" TargetMode="External"/><Relationship Id="rId349" Type="http://schemas.openxmlformats.org/officeDocument/2006/relationships/hyperlink" Target="https://www.linkedin.com/learning/managing-employee-performance-problems-3" TargetMode="External"/><Relationship Id="rId556" Type="http://schemas.openxmlformats.org/officeDocument/2006/relationships/hyperlink" Target="https://www.linkedin.com/learning/making-quick-decisions" TargetMode="External"/><Relationship Id="rId763" Type="http://schemas.openxmlformats.org/officeDocument/2006/relationships/hyperlink" Target="https://www.linkedin.com/learning/accounting-foundations-2" TargetMode="External"/><Relationship Id="rId1186" Type="http://schemas.openxmlformats.org/officeDocument/2006/relationships/hyperlink" Target="https://www.linkedin.com/learning/managing-for-results" TargetMode="External"/><Relationship Id="rId1393" Type="http://schemas.openxmlformats.org/officeDocument/2006/relationships/hyperlink" Target="https://www.linkedin.com/learning/cold-calling-mastery" TargetMode="External"/><Relationship Id="rId111" Type="http://schemas.openxmlformats.org/officeDocument/2006/relationships/hyperlink" Target="https://www.linkedin.com/learning/developing-adaptable-employees" TargetMode="External"/><Relationship Id="rId209" Type="http://schemas.openxmlformats.org/officeDocument/2006/relationships/hyperlink" Target="https://www.linkedin.com/learning/creating-a-culture-of-learning-2020" TargetMode="External"/><Relationship Id="rId416" Type="http://schemas.openxmlformats.org/officeDocument/2006/relationships/hyperlink" Target="https://www.linkedin.com/learning/streaming-with-linkedin-live" TargetMode="External"/><Relationship Id="rId970" Type="http://schemas.openxmlformats.org/officeDocument/2006/relationships/hyperlink" Target="https://www.linkedin.com/learning/azure-administration-manage-subscriptions-and-resources" TargetMode="External"/><Relationship Id="rId1046" Type="http://schemas.openxmlformats.org/officeDocument/2006/relationships/hyperlink" Target="https://www.linkedin.com/learning/using-emotions-to-leverage-and-accelerate-change-a-guide-for-leaders" TargetMode="External"/><Relationship Id="rId1253" Type="http://schemas.openxmlformats.org/officeDocument/2006/relationships/hyperlink" Target="https://www.linkedin.com/learning/lean-technology-strategy-starting-your-business-transformation-2/deploying-the-improvement-kata" TargetMode="External"/><Relationship Id="rId1698" Type="http://schemas.openxmlformats.org/officeDocument/2006/relationships/hyperlink" Target="https://www.linkedin.com/learning/managing-your-energy" TargetMode="External"/><Relationship Id="rId623" Type="http://schemas.openxmlformats.org/officeDocument/2006/relationships/hyperlink" Target="https://www.linkedin.com/learning/paths/become-a-business-analyst" TargetMode="External"/><Relationship Id="rId830" Type="http://schemas.openxmlformats.org/officeDocument/2006/relationships/hyperlink" Target="https://www.linkedin.com/learning/handling-workplace-bullying" TargetMode="External"/><Relationship Id="rId928" Type="http://schemas.openxmlformats.org/officeDocument/2006/relationships/hyperlink" Target="https://www.linkedin.com/learning/working-and-collaborating-online" TargetMode="External"/><Relationship Id="rId1460" Type="http://schemas.openxmlformats.org/officeDocument/2006/relationships/hyperlink" Target="https://www.linkedin.com/learning/designing-growth-strategies/the-growth-imperative" TargetMode="External"/><Relationship Id="rId1558" Type="http://schemas.openxmlformats.org/officeDocument/2006/relationships/hyperlink" Target="https://www.linkedin.com/learning/coaching-and-developing-employees-4" TargetMode="External"/><Relationship Id="rId1765" Type="http://schemas.openxmlformats.org/officeDocument/2006/relationships/hyperlink" Target="https://www.linkedin.com/learning/driving-workplace-happiness" TargetMode="External"/><Relationship Id="rId57" Type="http://schemas.openxmlformats.org/officeDocument/2006/relationships/hyperlink" Target="https://www.linkedin.com/learning/personal-effectiveness-tips" TargetMode="External"/><Relationship Id="rId1113" Type="http://schemas.openxmlformats.org/officeDocument/2006/relationships/hyperlink" Target="https://www.linkedin.com/learning/leading-with-purpose/employees-crave-purpose" TargetMode="External"/><Relationship Id="rId1320" Type="http://schemas.openxmlformats.org/officeDocument/2006/relationships/hyperlink" Target="https://www.linkedin.com/learning/complex-project-tips-and-tricks" TargetMode="External"/><Relationship Id="rId1418" Type="http://schemas.openxmlformats.org/officeDocument/2006/relationships/hyperlink" Target="https://www.linkedin.com/learning/creating-a-culture-of-strategy-execution" TargetMode="External"/><Relationship Id="rId1625" Type="http://schemas.openxmlformats.org/officeDocument/2006/relationships/hyperlink" Target="https://www.linkedin.com/learning/supporting-the-whole-self-at-work-a-diversity-and-inclusion-imperative" TargetMode="External"/><Relationship Id="rId273" Type="http://schemas.openxmlformats.org/officeDocument/2006/relationships/hyperlink" Target="https://www.linkedin.com/learning/find-your-passion-how-padma-lakshmi-found-hers" TargetMode="External"/><Relationship Id="rId480" Type="http://schemas.openxmlformats.org/officeDocument/2006/relationships/hyperlink" Target="https://www.linkedin.com/learning/learning-brainstorming" TargetMode="External"/><Relationship Id="rId133" Type="http://schemas.openxmlformats.org/officeDocument/2006/relationships/hyperlink" Target="https://www.linkedin.com/learning/work-on-purpose" TargetMode="External"/><Relationship Id="rId340" Type="http://schemas.openxmlformats.org/officeDocument/2006/relationships/hyperlink" Target="https://www.linkedin.com/learning/going-to-extremes-how-like-minds-unite-and-divide-getabstract-summary" TargetMode="External"/><Relationship Id="rId578" Type="http://schemas.openxmlformats.org/officeDocument/2006/relationships/hyperlink" Target="https://www.linkedin.com/learning/ecommerce-fundamentals" TargetMode="External"/><Relationship Id="rId785" Type="http://schemas.openxmlformats.org/officeDocument/2006/relationships/hyperlink" Target="https://www.linkedin.com/learning/economics-for-everyone-understanding-a-recession" TargetMode="External"/><Relationship Id="rId992" Type="http://schemas.openxmlformats.org/officeDocument/2006/relationships/hyperlink" Target="https://www.linkedin.com/learning/learning-design-for-sustainability/welcome" TargetMode="External"/><Relationship Id="rId200" Type="http://schemas.openxmlformats.org/officeDocument/2006/relationships/hyperlink" Target="https://www.linkedin.com/learning/developing-your-professional-image/the-resilience-mindset" TargetMode="External"/><Relationship Id="rId438" Type="http://schemas.openxmlformats.org/officeDocument/2006/relationships/hyperlink" Target="https://www.linkedin.com/learning/marketing-virtual-events" TargetMode="External"/><Relationship Id="rId645" Type="http://schemas.openxmlformats.org/officeDocument/2006/relationships/hyperlink" Target="https://www.linkedin.com/learning/database-foundations-creating-and-manipulating-data" TargetMode="External"/><Relationship Id="rId852" Type="http://schemas.openxmlformats.org/officeDocument/2006/relationships/hyperlink" Target="https://www.linkedin.com/learning/rewarding-employee-performance" TargetMode="External"/><Relationship Id="rId1068" Type="http://schemas.openxmlformats.org/officeDocument/2006/relationships/hyperlink" Target="https://www.linkedin.com/learning/developing-assertive-leadership" TargetMode="External"/><Relationship Id="rId1275" Type="http://schemas.openxmlformats.org/officeDocument/2006/relationships/hyperlink" Target="https://www.linkedin.com/learning/learning-powerpoint-2016-2" TargetMode="External"/><Relationship Id="rId1482" Type="http://schemas.openxmlformats.org/officeDocument/2006/relationships/hyperlink" Target="https://www.linkedin.com/learning/paths/improve-your-coaching-skills-as-a-manager" TargetMode="External"/><Relationship Id="rId505" Type="http://schemas.openxmlformats.org/officeDocument/2006/relationships/hyperlink" Target="https://www.linkedin.com/learning/implementing-creative-feedback-the-win-win-way" TargetMode="External"/><Relationship Id="rId712" Type="http://schemas.openxmlformats.org/officeDocument/2006/relationships/hyperlink" Target="https://www.linkedin.com/learning/excel-avoiding-common-mistakes-office-365-excel-2019" TargetMode="External"/><Relationship Id="rId1135" Type="http://schemas.openxmlformats.org/officeDocument/2006/relationships/hyperlink" Target="https://www.linkedin.com/learning/boosting-your-team-s-productivity/next-steps" TargetMode="External"/><Relationship Id="rId1342" Type="http://schemas.openxmlformats.org/officeDocument/2006/relationships/hyperlink" Target="https://www.linkedin.com/learning/from-resisting-to-embracing-lean-a-case-study" TargetMode="External"/><Relationship Id="rId79" Type="http://schemas.openxmlformats.org/officeDocument/2006/relationships/hyperlink" Target="https://www.linkedin.com/learning/managing-up-virtually-as-an-employee" TargetMode="External"/><Relationship Id="rId1202" Type="http://schemas.openxmlformats.org/officeDocument/2006/relationships/hyperlink" Target="https://www.linkedin.com/learning/organization-design" TargetMode="External"/><Relationship Id="rId1647" Type="http://schemas.openxmlformats.org/officeDocument/2006/relationships/hyperlink" Target="https://www.linkedin.com/learning/paths/develop-your-writing-skills" TargetMode="External"/><Relationship Id="rId1507" Type="http://schemas.openxmlformats.org/officeDocument/2006/relationships/hyperlink" Target="https://www.linkedin.com/learning/developing-adaptable-employees" TargetMode="External"/><Relationship Id="rId1714" Type="http://schemas.openxmlformats.org/officeDocument/2006/relationships/hyperlink" Target="https://www.linkedin.com/learning/the-mindful-workday" TargetMode="External"/><Relationship Id="rId295" Type="http://schemas.openxmlformats.org/officeDocument/2006/relationships/hyperlink" Target="https://www.linkedin.com/learning/skills-for-inclusive-conversations" TargetMode="External"/><Relationship Id="rId155" Type="http://schemas.openxmlformats.org/officeDocument/2006/relationships/hyperlink" Target="https://www.linkedin.com/learning/coaching-and-developing-employees-4" TargetMode="External"/><Relationship Id="rId362" Type="http://schemas.openxmlformats.org/officeDocument/2006/relationships/hyperlink" Target="https://www.linkedin.com/learning/advertising-on-facebook-advanced-2020" TargetMode="External"/><Relationship Id="rId1297" Type="http://schemas.openxmlformats.org/officeDocument/2006/relationships/hyperlink" Target="https://www.linkedin.com/learning/connecting-with-your-audience-using-video" TargetMode="External"/><Relationship Id="rId222" Type="http://schemas.openxmlformats.org/officeDocument/2006/relationships/hyperlink" Target="https://www.linkedin.com/learning/the-art-of-connection-7-relationship-building-skills-every-leader-needs-now-getabstract-summary" TargetMode="External"/><Relationship Id="rId667" Type="http://schemas.openxmlformats.org/officeDocument/2006/relationships/hyperlink" Target="https://www.linkedin.com/learning/spss-statistics-essential-training-2020-revision" TargetMode="External"/><Relationship Id="rId874" Type="http://schemas.openxmlformats.org/officeDocument/2006/relationships/hyperlink" Target="https://www.linkedin.com/learning/human-resources-compensation-and-benefits" TargetMode="External"/><Relationship Id="rId527" Type="http://schemas.openxmlformats.org/officeDocument/2006/relationships/hyperlink" Target="https://www.linkedin.com/learning/paths/develop-critical-thinking-decision-making-and-problem-solving-skills" TargetMode="External"/><Relationship Id="rId734" Type="http://schemas.openxmlformats.org/officeDocument/2006/relationships/hyperlink" Target="https://www.linkedin.com/learning/components-of-effective-learning" TargetMode="External"/><Relationship Id="rId941" Type="http://schemas.openxmlformats.org/officeDocument/2006/relationships/hyperlink" Target="https://www.linkedin.com/learning/introduction-to-responsible-ai-algorithm-design" TargetMode="External"/><Relationship Id="rId1157" Type="http://schemas.openxmlformats.org/officeDocument/2006/relationships/hyperlink" Target="https://www.linkedin.com/learning/how-to-effectively-deliver-criticism" TargetMode="External"/><Relationship Id="rId1364" Type="http://schemas.openxmlformats.org/officeDocument/2006/relationships/hyperlink" Target="https://www.linkedin.com/learning/lean-technology-strategy-economic-frameworks-for-portfolio-and-product-management" TargetMode="External"/><Relationship Id="rId1571" Type="http://schemas.openxmlformats.org/officeDocument/2006/relationships/hyperlink" Target="https://www.linkedin.com/learning/managing-employee-performance-problems-3" TargetMode="External"/><Relationship Id="rId70" Type="http://schemas.openxmlformats.org/officeDocument/2006/relationships/hyperlink" Target="https://www.linkedin.com/learning/improving-the-value-of-your-time-2019" TargetMode="External"/><Relationship Id="rId801" Type="http://schemas.openxmlformats.org/officeDocument/2006/relationships/hyperlink" Target="https://www.linkedin.com/learning/financial-analysis-introduction-to-business-performance-analysis" TargetMode="External"/><Relationship Id="rId1017" Type="http://schemas.openxmlformats.org/officeDocument/2006/relationships/hyperlink" Target="https://www.linkedin.com/learning/driving-change-and-anti-racism" TargetMode="External"/><Relationship Id="rId1224" Type="http://schemas.openxmlformats.org/officeDocument/2006/relationships/hyperlink" Target="https://www.linkedin.com/learning/lean-deep-dive-job-instruction" TargetMode="External"/><Relationship Id="rId1431" Type="http://schemas.openxmlformats.org/officeDocument/2006/relationships/hyperlink" Target="https://www.linkedin.com/learning/aaron-dignan-on-transformational-change" TargetMode="External"/><Relationship Id="rId1669" Type="http://schemas.openxmlformats.org/officeDocument/2006/relationships/hyperlink" Target="https://www.linkedin.com/learning/editing-and-proofreading-made-simple/welcome" TargetMode="External"/><Relationship Id="rId1529" Type="http://schemas.openxmlformats.org/officeDocument/2006/relationships/hyperlink" Target="https://www.linkedin.com/learning/coaching-skills-for-leaders-and-managers" TargetMode="External"/><Relationship Id="rId1736" Type="http://schemas.openxmlformats.org/officeDocument/2006/relationships/hyperlink" Target="https://www.linkedin.com/learning/arianna-huffington-s-thrive-02-learning-how-to-unplug-and-recharge" TargetMode="External"/><Relationship Id="rId28" Type="http://schemas.openxmlformats.org/officeDocument/2006/relationships/hyperlink" Target="https://www.linkedin.com/learning/time-management-tips-2019" TargetMode="External"/><Relationship Id="rId177" Type="http://schemas.openxmlformats.org/officeDocument/2006/relationships/hyperlink" Target="https://www.linkedin.com/learning/measuring-team-performance" TargetMode="External"/><Relationship Id="rId384" Type="http://schemas.openxmlformats.org/officeDocument/2006/relationships/hyperlink" Target="https://www.linkedin.com/learning/positioning-your-product-or-service" TargetMode="External"/><Relationship Id="rId591" Type="http://schemas.openxmlformats.org/officeDocument/2006/relationships/hyperlink" Target="https://www.linkedin.com/learning/customer-retention" TargetMode="External"/><Relationship Id="rId244" Type="http://schemas.openxmlformats.org/officeDocument/2006/relationships/hyperlink" Target="https://www.linkedin.com/learning/advanced-business-development-communication-and-negotiation" TargetMode="External"/><Relationship Id="rId689" Type="http://schemas.openxmlformats.org/officeDocument/2006/relationships/hyperlink" Target="https://www.linkedin.com/learning/data-visualization-storytelling,https:/www.linkedin.com/learning/data-visualization-storytelling-3,https:/www.linkedin.com/learning/data-visualization-storytelling-revision" TargetMode="External"/><Relationship Id="rId896" Type="http://schemas.openxmlformats.org/officeDocument/2006/relationships/hyperlink" Target="https://www.linkedin.com/learning/leadership-mindsets" TargetMode="External"/><Relationship Id="rId1081" Type="http://schemas.openxmlformats.org/officeDocument/2006/relationships/hyperlink" Target="https://www.linkedin.com/learning/bring-your-human-to-work-getabstract-summary" TargetMode="External"/><Relationship Id="rId451" Type="http://schemas.openxmlformats.org/officeDocument/2006/relationships/hyperlink" Target="https://www.linkedin.com/learning/master-the-strategies-methods-and-metrics-of-champion-marketers" TargetMode="External"/><Relationship Id="rId549" Type="http://schemas.openxmlformats.org/officeDocument/2006/relationships/hyperlink" Target="https://www.linkedin.com/learning/improving-your-judgment-for-better-decision-making-2020" TargetMode="External"/><Relationship Id="rId756" Type="http://schemas.openxmlformats.org/officeDocument/2006/relationships/hyperlink" Target="https://www.linkedin.com/learning/20-questions-to-improve-learning-at-your-organization" TargetMode="External"/><Relationship Id="rId1179" Type="http://schemas.openxmlformats.org/officeDocument/2006/relationships/hyperlink" Target="https://www.linkedin.com/learning/creating-the-conditions-for-others-to-thrive" TargetMode="External"/><Relationship Id="rId1386" Type="http://schemas.openxmlformats.org/officeDocument/2006/relationships/hyperlink" Target="https://www.linkedin.com/learning/building-a-competitive-matrix" TargetMode="External"/><Relationship Id="rId1593" Type="http://schemas.openxmlformats.org/officeDocument/2006/relationships/hyperlink" Target="https://www.linkedin.com/learning/women-transforming-tech-voices-from-the-field" TargetMode="External"/><Relationship Id="rId104" Type="http://schemas.openxmlformats.org/officeDocument/2006/relationships/hyperlink" Target="https://www.linkedin.com/learning/managing-self-doubt-to-tackle-bigger-challenges" TargetMode="External"/><Relationship Id="rId311" Type="http://schemas.openxmlformats.org/officeDocument/2006/relationships/hyperlink" Target="https://www.linkedin.com/learning/complex-negotiation-tips" TargetMode="External"/><Relationship Id="rId409" Type="http://schemas.openxmlformats.org/officeDocument/2006/relationships/hyperlink" Target="https://www.linkedin.com/learning/introduction-to-social-media-strategy" TargetMode="External"/><Relationship Id="rId963" Type="http://schemas.openxmlformats.org/officeDocument/2006/relationships/hyperlink" Target="https://www.linkedin.com/learning/python-automation-and-testing" TargetMode="External"/><Relationship Id="rId1039" Type="http://schemas.openxmlformats.org/officeDocument/2006/relationships/hyperlink" Target="https://www.linkedin.com/learning/leading-change-4" TargetMode="External"/><Relationship Id="rId1246" Type="http://schemas.openxmlformats.org/officeDocument/2006/relationships/hyperlink" Target="https://www.linkedin.com/learning/leading-with-next-generation-kpis-with-michael-schrage" TargetMode="External"/><Relationship Id="rId92" Type="http://schemas.openxmlformats.org/officeDocument/2006/relationships/hyperlink" Target="https://www.linkedin.com/learning/developing-a-learning-mindset" TargetMode="External"/><Relationship Id="rId616" Type="http://schemas.openxmlformats.org/officeDocument/2006/relationships/hyperlink" Target="https://www.linkedin.com/learning/customer-service-using-ai-and-machine-learning" TargetMode="External"/><Relationship Id="rId823" Type="http://schemas.openxmlformats.org/officeDocument/2006/relationships/hyperlink" Target="https://www.linkedin.com/learning/people-analytics" TargetMode="External"/><Relationship Id="rId1453" Type="http://schemas.openxmlformats.org/officeDocument/2006/relationships/hyperlink" Target="https://www.linkedin.com/learning/following-the-digital-thread" TargetMode="External"/><Relationship Id="rId1660" Type="http://schemas.openxmlformats.org/officeDocument/2006/relationships/hyperlink" Target="https://www.linkedin.com/learning/how-to-become-a-purpose-driven-journalist" TargetMode="External"/><Relationship Id="rId1758" Type="http://schemas.openxmlformats.org/officeDocument/2006/relationships/hyperlink" Target="https://www.linkedin.com/learning/recharge-your-energy-for-peak-performance" TargetMode="External"/><Relationship Id="rId1106" Type="http://schemas.openxmlformats.org/officeDocument/2006/relationships/hyperlink" Target="https://www.linkedin.com/learning/lead-like-a-boss" TargetMode="External"/><Relationship Id="rId1313" Type="http://schemas.openxmlformats.org/officeDocument/2006/relationships/hyperlink" Target="https://www.linkedin.com/learning/facilitation-skills-for-managers-and-leaders" TargetMode="External"/><Relationship Id="rId1520" Type="http://schemas.openxmlformats.org/officeDocument/2006/relationships/hyperlink" Target="https://www.linkedin.com/learning/getting-executive-buy-in-and-support-for-your-l-d-program,https:/www.linkedin.com/learning/the-future-of-workplace-learning" TargetMode="External"/><Relationship Id="rId1618" Type="http://schemas.openxmlformats.org/officeDocument/2006/relationships/hyperlink" Target="https://www.linkedin.com/learning/speaking-up-at-work" TargetMode="External"/><Relationship Id="rId199" Type="http://schemas.openxmlformats.org/officeDocument/2006/relationships/hyperlink" Target="https://www.linkedin.com/learning/developing-your-emotional-intelligence" TargetMode="External"/><Relationship Id="rId266" Type="http://schemas.openxmlformats.org/officeDocument/2006/relationships/hyperlink" Target="https://www.linkedin.com/learning/women-transforming-tech-voices-from-the-field" TargetMode="External"/><Relationship Id="rId473" Type="http://schemas.openxmlformats.org/officeDocument/2006/relationships/hyperlink" Target="https://www.linkedin.com/learning/building-creative-organizations-2019" TargetMode="External"/><Relationship Id="rId680" Type="http://schemas.openxmlformats.org/officeDocument/2006/relationships/hyperlink" Target="https://www.linkedin.com/learning/data-visualization-tips-and-tricks" TargetMode="External"/><Relationship Id="rId126" Type="http://schemas.openxmlformats.org/officeDocument/2006/relationships/hyperlink" Target="https://www.linkedin.com/learning/cultivating-mental-agility" TargetMode="External"/><Relationship Id="rId333" Type="http://schemas.openxmlformats.org/officeDocument/2006/relationships/hyperlink" Target="https://www.linkedin.com/learning/jeff-weiner-on-managing-compassionately" TargetMode="External"/><Relationship Id="rId540" Type="http://schemas.openxmlformats.org/officeDocument/2006/relationships/hyperlink" Target="https://www.linkedin.com/learning/prioritizing-your-tasks" TargetMode="External"/><Relationship Id="rId778" Type="http://schemas.openxmlformats.org/officeDocument/2006/relationships/hyperlink" Target="https://www.linkedin.com/learning/corporate-finance-foundations" TargetMode="External"/><Relationship Id="rId985" Type="http://schemas.openxmlformats.org/officeDocument/2006/relationships/hyperlink" Target="https://www.linkedin.com/learning/paths/managing-change" TargetMode="External"/><Relationship Id="rId1170" Type="http://schemas.openxmlformats.org/officeDocument/2006/relationships/hyperlink" Target="https://www.linkedin.com/learning/why-motivating-people-doesn-t-work-and-what-does-getabstract-summary" TargetMode="External"/><Relationship Id="rId638" Type="http://schemas.openxmlformats.org/officeDocument/2006/relationships/hyperlink" Target="https://www.linkedin.com/learning/the-data-science-of-government-and-political-science-with-barton-poulson" TargetMode="External"/><Relationship Id="rId845" Type="http://schemas.openxmlformats.org/officeDocument/2006/relationships/hyperlink" Target="https://www.linkedin.com/learning/hiring-an-employee-for-managers-2019" TargetMode="External"/><Relationship Id="rId1030" Type="http://schemas.openxmlformats.org/officeDocument/2006/relationships/hyperlink" Target="https://www.linkedin.com/learning/organizational-learning-and-development" TargetMode="External"/><Relationship Id="rId1268" Type="http://schemas.openxmlformats.org/officeDocument/2006/relationships/hyperlink" Target="https://www.linkedin.com/learning/introduction-to-sap-bi-bw" TargetMode="External"/><Relationship Id="rId1475" Type="http://schemas.openxmlformats.org/officeDocument/2006/relationships/hyperlink" Target="https://www.linkedin.com/learning/cybersecurity-foundations-2020-revision" TargetMode="External"/><Relationship Id="rId1682" Type="http://schemas.openxmlformats.org/officeDocument/2006/relationships/hyperlink" Target="https://www.linkedin.com/learning/conquering-writer-s-block" TargetMode="External"/><Relationship Id="rId400" Type="http://schemas.openxmlformats.org/officeDocument/2006/relationships/hyperlink" Target="https://www.linkedin.com/learning/content-marketing-foundations-2020" TargetMode="External"/><Relationship Id="rId705" Type="http://schemas.openxmlformats.org/officeDocument/2006/relationships/hyperlink" Target="https://www.linkedin.com/learning/power-bi-dataflows-essential-training" TargetMode="External"/><Relationship Id="rId1128" Type="http://schemas.openxmlformats.org/officeDocument/2006/relationships/hyperlink" Target="https://www.linkedin.com/learning/leading-in-uncertain-times" TargetMode="External"/><Relationship Id="rId1335" Type="http://schemas.openxmlformats.org/officeDocument/2006/relationships/hyperlink" Target="https://www.linkedin.com/learning/project-management-foundations-requirements-2019" TargetMode="External"/><Relationship Id="rId1542" Type="http://schemas.openxmlformats.org/officeDocument/2006/relationships/hyperlink" Target="https://www.linkedin.com/learning/paths/advance-your-skills-as-a-manager" TargetMode="External"/><Relationship Id="rId912" Type="http://schemas.openxmlformats.org/officeDocument/2006/relationships/hyperlink" Target="https://www.linkedin.com/learning/paths/become-an-aws-data-and-devops-specialist" TargetMode="External"/><Relationship Id="rId41" Type="http://schemas.openxmlformats.org/officeDocument/2006/relationships/hyperlink" Target="https://www.linkedin.com/learning/subtle-shifts-in-thinking-for-tremendous-resilience" TargetMode="External"/><Relationship Id="rId1402" Type="http://schemas.openxmlformats.org/officeDocument/2006/relationships/hyperlink" Target="https://www.linkedin.com/learning/cold-calling-business-leaders" TargetMode="External"/><Relationship Id="rId1707" Type="http://schemas.openxmlformats.org/officeDocument/2006/relationships/hyperlink" Target="https://www.linkedin.com/learning/de-stress" TargetMode="External"/><Relationship Id="rId190" Type="http://schemas.openxmlformats.org/officeDocument/2006/relationships/hyperlink" Target="https://www.linkedin.com/learning/paths/fostering-collaboration" TargetMode="External"/><Relationship Id="rId288" Type="http://schemas.openxmlformats.org/officeDocument/2006/relationships/hyperlink" Target="https://www.linkedin.com/learning/improving-your-listening-skills" TargetMode="External"/><Relationship Id="rId495" Type="http://schemas.openxmlformats.org/officeDocument/2006/relationships/hyperlink" Target="https://www.linkedin.com/learning/graphic-design-foundations-ideas-concepts-and-form" TargetMode="External"/><Relationship Id="rId148" Type="http://schemas.openxmlformats.org/officeDocument/2006/relationships/hyperlink" Target="https://www.linkedin.com/learning/how-to-give-and-receive-useful-feedback-every-month" TargetMode="External"/><Relationship Id="rId355" Type="http://schemas.openxmlformats.org/officeDocument/2006/relationships/hyperlink" Target="https://www.linkedin.com/learning/building-an-integrated-online-marketing-plan-2" TargetMode="External"/><Relationship Id="rId562" Type="http://schemas.openxmlformats.org/officeDocument/2006/relationships/hyperlink" Target="https://www.linkedin.com/learning/calculating-the-value-and-roi-of-customer-service" TargetMode="External"/><Relationship Id="rId1192" Type="http://schemas.openxmlformats.org/officeDocument/2006/relationships/hyperlink" Target="https://www.linkedin.com/learning/having-career-conversations-with-your-team-members" TargetMode="External"/><Relationship Id="rId215" Type="http://schemas.openxmlformats.org/officeDocument/2006/relationships/hyperlink" Target="https://www.linkedin.com/learning/being-an-effective-team-member" TargetMode="External"/><Relationship Id="rId422" Type="http://schemas.openxmlformats.org/officeDocument/2006/relationships/hyperlink" Target="https://www.linkedin.com/learning/marketing-customer-segmentation-revision-2020" TargetMode="External"/><Relationship Id="rId867" Type="http://schemas.openxmlformats.org/officeDocument/2006/relationships/hyperlink" Target="https://www.linkedin.com/learning/employee-experience/four-stages-of-an-employee-experience" TargetMode="External"/><Relationship Id="rId1052" Type="http://schemas.openxmlformats.org/officeDocument/2006/relationships/hyperlink" Target="https://www.linkedin.com/learning/emerging-leader-foundations/how-to-create-a-culture-of-learning" TargetMode="External"/><Relationship Id="rId1497" Type="http://schemas.openxmlformats.org/officeDocument/2006/relationships/hyperlink" Target="https://www.linkedin.com/learning/foundations-of-corporate-training" TargetMode="External"/><Relationship Id="rId727" Type="http://schemas.openxmlformats.org/officeDocument/2006/relationships/hyperlink" Target="https://www.linkedin.com/learning/using-humor-in-training-to-engage-your-audience" TargetMode="External"/><Relationship Id="rId934" Type="http://schemas.openxmlformats.org/officeDocument/2006/relationships/hyperlink" Target="https://www.linkedin.com/learning/comptia-security-plus-sy0-501-cert-prep-4-identity-and-access-management" TargetMode="External"/><Relationship Id="rId1357" Type="http://schemas.openxmlformats.org/officeDocument/2006/relationships/hyperlink" Target="https://www.linkedin.com/learning/what-is-a-pmo" TargetMode="External"/><Relationship Id="rId1564" Type="http://schemas.openxmlformats.org/officeDocument/2006/relationships/hyperlink" Target="https://www.linkedin.com/learning/using-feedback-to-drive-performance" TargetMode="External"/><Relationship Id="rId63" Type="http://schemas.openxmlformats.org/officeDocument/2006/relationships/hyperlink" Target="https://www.linkedin.com/learning/time-management-for-managers/hold-others-accountable-for-deadlines" TargetMode="External"/><Relationship Id="rId1217" Type="http://schemas.openxmlformats.org/officeDocument/2006/relationships/hyperlink" Target="https://www.linkedin.com/learning/lean-six-sigma-foundations" TargetMode="External"/><Relationship Id="rId1424" Type="http://schemas.openxmlformats.org/officeDocument/2006/relationships/hyperlink" Target="https://www.linkedin.com/learning/strategies-for-emerging-markets" TargetMode="External"/><Relationship Id="rId1631" Type="http://schemas.openxmlformats.org/officeDocument/2006/relationships/hyperlink" Target="https://www.linkedin.com/learning/communicating-about-culturally-sensitive-issues" TargetMode="External"/><Relationship Id="rId1729" Type="http://schemas.openxmlformats.org/officeDocument/2006/relationships/hyperlink" Target="https://www.linkedin.com/learning/the-45-minute-business-plan" TargetMode="External"/><Relationship Id="rId377" Type="http://schemas.openxmlformats.org/officeDocument/2006/relationships/hyperlink" Target="https://www.linkedin.com/learning/online-marketing-foundations-3" TargetMode="External"/><Relationship Id="rId584" Type="http://schemas.openxmlformats.org/officeDocument/2006/relationships/hyperlink" Target="https://www.linkedin.com/learning/onboarding-and-adoption-best-practices-for-customer-success-management" TargetMode="External"/><Relationship Id="rId5" Type="http://schemas.openxmlformats.org/officeDocument/2006/relationships/hyperlink" Target="https://www.linkedin.com/learning/delivering-results-effectively/what-does-it-mean-to-deliver-results" TargetMode="External"/><Relationship Id="rId237" Type="http://schemas.openxmlformats.org/officeDocument/2006/relationships/hyperlink" Target="https://www.linkedin.com/learning/communicating-with-diplomacy-and-tact" TargetMode="External"/><Relationship Id="rId791" Type="http://schemas.openxmlformats.org/officeDocument/2006/relationships/hyperlink" Target="https://www.linkedin.com/learning/financial-basics-everyone-should-know" TargetMode="External"/><Relationship Id="rId889" Type="http://schemas.openxmlformats.org/officeDocument/2006/relationships/hyperlink" Target="https://www.linkedin.com/learning/working-with-prehire-assessments" TargetMode="External"/><Relationship Id="rId1074" Type="http://schemas.openxmlformats.org/officeDocument/2006/relationships/hyperlink" Target="https://www.linkedin.com/learning/leading-with-emotional-intelligence-3" TargetMode="External"/><Relationship Id="rId444" Type="http://schemas.openxmlformats.org/officeDocument/2006/relationships/hyperlink" Target="https://www.linkedin.com/learning/social-media-marketing-trends" TargetMode="External"/><Relationship Id="rId651" Type="http://schemas.openxmlformats.org/officeDocument/2006/relationships/hyperlink" Target="https://www.linkedin.com/learning/learning-data-visualization-3" TargetMode="External"/><Relationship Id="rId749" Type="http://schemas.openxmlformats.org/officeDocument/2006/relationships/hyperlink" Target="https://www.linkedin.com/learning/elearning-tips" TargetMode="External"/><Relationship Id="rId1281" Type="http://schemas.openxmlformats.org/officeDocument/2006/relationships/hyperlink" Target="https://www.linkedin.com/learning/own-your-voice-improve-presentations-and-executive-presence" TargetMode="External"/><Relationship Id="rId1379" Type="http://schemas.openxmlformats.org/officeDocument/2006/relationships/hyperlink" Target="https://www.linkedin.com/learning/jira-basic-administration" TargetMode="External"/><Relationship Id="rId1586" Type="http://schemas.openxmlformats.org/officeDocument/2006/relationships/hyperlink" Target="https://www.linkedin.com/learning/communicating-across-cultures-2" TargetMode="External"/><Relationship Id="rId304" Type="http://schemas.openxmlformats.org/officeDocument/2006/relationships/hyperlink" Target="https://www.linkedin.com/learning/difficult-conversations-about-politics-at-work" TargetMode="External"/><Relationship Id="rId511" Type="http://schemas.openxmlformats.org/officeDocument/2006/relationships/hyperlink" Target="https://www.linkedin.com/learning/driving-innovation-a-leader-s-guide-to-ownership-and-accountability-for-creative-teams" TargetMode="External"/><Relationship Id="rId609" Type="http://schemas.openxmlformats.org/officeDocument/2006/relationships/hyperlink" Target="https://www.linkedin.com/learning/managing-a-customer-service-team" TargetMode="External"/><Relationship Id="rId956" Type="http://schemas.openxmlformats.org/officeDocument/2006/relationships/hyperlink" Target="https://www.linkedin.com/learning/windows-10-deploy-and-manage-virtual-applications" TargetMode="External"/><Relationship Id="rId1141" Type="http://schemas.openxmlformats.org/officeDocument/2006/relationships/hyperlink" Target="https://www.linkedin.com/learning/managing-high-potentials" TargetMode="External"/><Relationship Id="rId1239" Type="http://schemas.openxmlformats.org/officeDocument/2006/relationships/hyperlink" Target="https://www.linkedin.com/learning/operational-excellence-foundations" TargetMode="External"/><Relationship Id="rId85" Type="http://schemas.openxmlformats.org/officeDocument/2006/relationships/hyperlink" Target="https://www.linkedin.com/learning/business-innovation-foundations" TargetMode="External"/><Relationship Id="rId816" Type="http://schemas.openxmlformats.org/officeDocument/2006/relationships/hyperlink" Target="https://www.linkedin.com/learning/human-resources-building-a-performance-management-system" TargetMode="External"/><Relationship Id="rId1001" Type="http://schemas.openxmlformats.org/officeDocument/2006/relationships/hyperlink" Target="https://www.linkedin.com/learning/guy-kawasaki-on-turning-life-wisdom-into-business-success" TargetMode="External"/><Relationship Id="rId1446" Type="http://schemas.openxmlformats.org/officeDocument/2006/relationships/hyperlink" Target="https://www.linkedin.com/learning/strategic-partnerships" TargetMode="External"/><Relationship Id="rId1653" Type="http://schemas.openxmlformats.org/officeDocument/2006/relationships/hyperlink" Target="https://www.linkedin.com/learning/writing-a-research-paper" TargetMode="External"/><Relationship Id="rId1306" Type="http://schemas.openxmlformats.org/officeDocument/2006/relationships/hyperlink" Target="https://www.linkedin.com/learning/shane-snow-on-storytelling" TargetMode="External"/><Relationship Id="rId1513" Type="http://schemas.openxmlformats.org/officeDocument/2006/relationships/hyperlink" Target="https://www.linkedin.com/learning/delivering-employee-feedback-4" TargetMode="External"/><Relationship Id="rId1720" Type="http://schemas.openxmlformats.org/officeDocument/2006/relationships/hyperlink" Target="https://www.linkedin.com/learning/avoiding-burnout-2019" TargetMode="External"/><Relationship Id="rId12" Type="http://schemas.openxmlformats.org/officeDocument/2006/relationships/hyperlink" Target="https://www.linkedin.com/learning/fred-kofman-on-accountability/welcome" TargetMode="External"/><Relationship Id="rId161" Type="http://schemas.openxmlformats.org/officeDocument/2006/relationships/hyperlink" Target="https://www.linkedin.com/learning/a-great-place-to-work-for-all-getabstract-summary" TargetMode="External"/><Relationship Id="rId399" Type="http://schemas.openxmlformats.org/officeDocument/2006/relationships/hyperlink" Target="https://www.linkedin.com/learning/marketing-and-monetizing-on-youtube-2019" TargetMode="External"/><Relationship Id="rId259" Type="http://schemas.openxmlformats.org/officeDocument/2006/relationships/hyperlink" Target="https://www.linkedin.com/learning/managing-office-politics" TargetMode="External"/><Relationship Id="rId466" Type="http://schemas.openxmlformats.org/officeDocument/2006/relationships/hyperlink" Target="https://www.linkedin.com/learning/seo-for-social-media" TargetMode="External"/><Relationship Id="rId673" Type="http://schemas.openxmlformats.org/officeDocument/2006/relationships/hyperlink" Target="https://www.linkedin.com/learning/excel-statistics-essential-training-2" TargetMode="External"/><Relationship Id="rId880" Type="http://schemas.openxmlformats.org/officeDocument/2006/relationships/hyperlink" Target="https://www.linkedin.com/learning/organizational-learning-and-development" TargetMode="External"/><Relationship Id="rId1096" Type="http://schemas.openxmlformats.org/officeDocument/2006/relationships/hyperlink" Target="https://www.linkedin.com/learning/fostering-belonging-as-a-leader" TargetMode="External"/><Relationship Id="rId119" Type="http://schemas.openxmlformats.org/officeDocument/2006/relationships/hyperlink" Target="https://www.linkedin.com/learning/change-management-foundations/welcome" TargetMode="External"/><Relationship Id="rId326" Type="http://schemas.openxmlformats.org/officeDocument/2006/relationships/hyperlink" Target="https://www.linkedin.com/learning/paths/develop-conflict-management-and-resolution-skills" TargetMode="External"/><Relationship Id="rId533" Type="http://schemas.openxmlformats.org/officeDocument/2006/relationships/hyperlink" Target="https://www.linkedin.com/learning/enhancing-resilience" TargetMode="External"/><Relationship Id="rId978" Type="http://schemas.openxmlformats.org/officeDocument/2006/relationships/hyperlink" Target="https://www.linkedin.com/learning/creating-a-culture-of-change" TargetMode="External"/><Relationship Id="rId1163" Type="http://schemas.openxmlformats.org/officeDocument/2006/relationships/hyperlink" Target="https://www.linkedin.com/learning/improving-employee-performance" TargetMode="External"/><Relationship Id="rId1370" Type="http://schemas.openxmlformats.org/officeDocument/2006/relationships/hyperlink" Target="https://www.linkedin.com/learning/leading-projects/case-study-a-new-distribution-center" TargetMode="External"/><Relationship Id="rId740" Type="http://schemas.openxmlformats.org/officeDocument/2006/relationships/hyperlink" Target="https://www.linkedin.com/learning/color-trends" TargetMode="External"/><Relationship Id="rId838" Type="http://schemas.openxmlformats.org/officeDocument/2006/relationships/hyperlink" Target="https://www.linkedin.com/learning/onboarding-new-hires-as-a-manager-2019" TargetMode="External"/><Relationship Id="rId1023" Type="http://schemas.openxmlformats.org/officeDocument/2006/relationships/hyperlink" Target="https://www.linkedin.com/learning/adaptive-project-leadership/adaptive-thinking-in-practice" TargetMode="External"/><Relationship Id="rId1468" Type="http://schemas.openxmlformats.org/officeDocument/2006/relationships/hyperlink" Target="https://www.linkedin.com/learning/sustainability-strategies/welcome" TargetMode="External"/><Relationship Id="rId1675" Type="http://schemas.openxmlformats.org/officeDocument/2006/relationships/hyperlink" Target="https://www.linkedin.com/learning/writing-in-plain-english" TargetMode="External"/><Relationship Id="rId600" Type="http://schemas.openxmlformats.org/officeDocument/2006/relationships/hyperlink" Target="https://www.linkedin.com/learning/building-customer-loyalty" TargetMode="External"/><Relationship Id="rId1230" Type="http://schemas.openxmlformats.org/officeDocument/2006/relationships/hyperlink" Target="https://www.linkedin.com/learning/agile-software-development-creating-an-agile-culture" TargetMode="External"/><Relationship Id="rId1328" Type="http://schemas.openxmlformats.org/officeDocument/2006/relationships/hyperlink" Target="https://www.linkedin.com/learning/project-management-foundations-integration-2" TargetMode="External"/><Relationship Id="rId1535" Type="http://schemas.openxmlformats.org/officeDocument/2006/relationships/hyperlink" Target="https://www.linkedin.com/learning/managing-multiple-generations-2020" TargetMode="External"/><Relationship Id="rId905" Type="http://schemas.openxmlformats.org/officeDocument/2006/relationships/hyperlink" Target="https://www.linkedin.com/learning/paths/become-a-c-plus-plus-developer" TargetMode="External"/><Relationship Id="rId1742" Type="http://schemas.openxmlformats.org/officeDocument/2006/relationships/hyperlink" Target="https://www.linkedin.com/learning/life-mastery-achieving-happiness-and-success" TargetMode="External"/><Relationship Id="rId34" Type="http://schemas.openxmlformats.org/officeDocument/2006/relationships/hyperlink" Target="https://www.linkedin.com/learning/productivity-tips-taking-control-of-email-2019" TargetMode="External"/><Relationship Id="rId1602" Type="http://schemas.openxmlformats.org/officeDocument/2006/relationships/hyperlink" Target="https://www.linkedin.com/learning/women-transforming-tech-networking/how-to-think-about-networking" TargetMode="External"/><Relationship Id="rId183" Type="http://schemas.openxmlformats.org/officeDocument/2006/relationships/hyperlink" Target="https://www.linkedin.com/learning/the-surprising-science-of-meetings-getabstract-summary" TargetMode="External"/><Relationship Id="rId390" Type="http://schemas.openxmlformats.org/officeDocument/2006/relationships/hyperlink" Target="https://www.linkedin.com/learning/marketing-foundations-automation" TargetMode="External"/><Relationship Id="rId250" Type="http://schemas.openxmlformats.org/officeDocument/2006/relationships/hyperlink" Target="https://www.linkedin.com/learning/communicating-with-confidence" TargetMode="External"/><Relationship Id="rId488" Type="http://schemas.openxmlformats.org/officeDocument/2006/relationships/hyperlink" Target="https://www.linkedin.com/learning/how-getting-curious-helps-you-achieve-everything" TargetMode="External"/><Relationship Id="rId695" Type="http://schemas.openxmlformats.org/officeDocument/2006/relationships/hyperlink" Target="https://www.linkedin.com/learning/statistics-foundations-3" TargetMode="External"/><Relationship Id="rId110" Type="http://schemas.openxmlformats.org/officeDocument/2006/relationships/hyperlink" Target="https://www.linkedin.com/learning/handling-workplace-change-as-an-employee" TargetMode="External"/><Relationship Id="rId348" Type="http://schemas.openxmlformats.org/officeDocument/2006/relationships/hyperlink" Target="https://www.linkedin.com/learning/leading-through-relationships" TargetMode="External"/><Relationship Id="rId555" Type="http://schemas.openxmlformats.org/officeDocument/2006/relationships/hyperlink" Target="https://www.linkedin.com/learning/cultivating-mental-agility" TargetMode="External"/><Relationship Id="rId762" Type="http://schemas.openxmlformats.org/officeDocument/2006/relationships/hyperlink" Target="https://www.linkedin.com/learning/sap-erp-essential-training,https:/www.linkedin.com/learning/sap-erp-essential-training-2,https:/www.linkedin.com/learning/sap-erp-essential-training-2020-revision" TargetMode="External"/><Relationship Id="rId1185" Type="http://schemas.openxmlformats.org/officeDocument/2006/relationships/hyperlink" Target="https://www.linkedin.com/learning/managing-employee-performance-problems-3" TargetMode="External"/><Relationship Id="rId1392" Type="http://schemas.openxmlformats.org/officeDocument/2006/relationships/hyperlink" Target="https://www.linkedin.com/learning/learn-linkedin-sales-navigator-2020" TargetMode="External"/><Relationship Id="rId208" Type="http://schemas.openxmlformats.org/officeDocument/2006/relationships/hyperlink" Target="https://www.linkedin.com/learning/the-surprising-power-of-seeing-people-as-people" TargetMode="External"/><Relationship Id="rId415" Type="http://schemas.openxmlformats.org/officeDocument/2006/relationships/hyperlink" Target="https://www.linkedin.com/learning/creating-and-managing-a-youtube-channel-revision" TargetMode="External"/><Relationship Id="rId622" Type="http://schemas.openxmlformats.org/officeDocument/2006/relationships/hyperlink" Target="https://www.linkedin.com/learning/paths/advance-your-skills-in-predictive-analytics" TargetMode="External"/><Relationship Id="rId1045" Type="http://schemas.openxmlformats.org/officeDocument/2006/relationships/hyperlink" Target="https://www.linkedin.com/learning/paths/linkedin-manager-to-leader" TargetMode="External"/><Relationship Id="rId1252" Type="http://schemas.openxmlformats.org/officeDocument/2006/relationships/hyperlink" Target="https://www.linkedin.com/learning/lean-six-sigma-define-and-measure-tools" TargetMode="External"/><Relationship Id="rId1697" Type="http://schemas.openxmlformats.org/officeDocument/2006/relationships/hyperlink" Target="https://www.linkedin.com/learning/finding-your-introvert-extrovert-balance-in-the-workplace" TargetMode="External"/><Relationship Id="rId927" Type="http://schemas.openxmlformats.org/officeDocument/2006/relationships/hyperlink" Target="https://www.linkedin.com/learning/software-development-life-cycle-sdlc" TargetMode="External"/><Relationship Id="rId1112" Type="http://schemas.openxmlformats.org/officeDocument/2006/relationships/hyperlink" Target="https://www.linkedin.com/learning/leading-with-kindness-and-strength" TargetMode="External"/><Relationship Id="rId1557" Type="http://schemas.openxmlformats.org/officeDocument/2006/relationships/hyperlink" Target="https://www.linkedin.com/learning/hiring-an-employee-for-managers-2019" TargetMode="External"/><Relationship Id="rId1764" Type="http://schemas.openxmlformats.org/officeDocument/2006/relationships/hyperlink" Target="https://www.linkedin.com/learning/unsubscribe-how-to-kill-email-anxiety-avoid-distractions-and-get-real-work-done-blinkist" TargetMode="External"/><Relationship Id="rId56" Type="http://schemas.openxmlformats.org/officeDocument/2006/relationships/hyperlink" Target="https://www.linkedin.com/learning/goal-setting-objectives-and-key-results-okrs" TargetMode="External"/><Relationship Id="rId1417" Type="http://schemas.openxmlformats.org/officeDocument/2006/relationships/hyperlink" Target="https://www.linkedin.com/learning/paths/become-a-business-unit-manager-2" TargetMode="External"/><Relationship Id="rId1624" Type="http://schemas.openxmlformats.org/officeDocument/2006/relationships/hyperlink" Target="https://www.linkedin.com/learning/leadership-in-tech" TargetMode="External"/><Relationship Id="rId272" Type="http://schemas.openxmlformats.org/officeDocument/2006/relationships/hyperlink" Target="https://www.linkedin.com/learning/learning-webex-meetings-2020" TargetMode="External"/><Relationship Id="rId577" Type="http://schemas.openxmlformats.org/officeDocument/2006/relationships/hyperlink" Target="https://www.linkedin.com/learning/using-thought-leadership-for-customer-acquisition" TargetMode="External"/><Relationship Id="rId132" Type="http://schemas.openxmlformats.org/officeDocument/2006/relationships/hyperlink" Target="https://www.linkedin.com/learning/paths/improve-your-coaching-skills-as-a-manager?u=104" TargetMode="External"/><Relationship Id="rId784" Type="http://schemas.openxmlformats.org/officeDocument/2006/relationships/hyperlink" Target="https://www.linkedin.com/learning/income-statement-p-l-and-cash-flow-explained" TargetMode="External"/><Relationship Id="rId991" Type="http://schemas.openxmlformats.org/officeDocument/2006/relationships/hyperlink" Target="https://www.linkedin.com/learning/jeff-dyer-on-innovation" TargetMode="External"/><Relationship Id="rId1067" Type="http://schemas.openxmlformats.org/officeDocument/2006/relationships/hyperlink" Target="https://www.linkedin.com/learning/culture-of-kaizen" TargetMode="External"/><Relationship Id="rId437" Type="http://schemas.openxmlformats.org/officeDocument/2006/relationships/hyperlink" Target="https://www.linkedin.com/learning/marketing-during-a-crisis" TargetMode="External"/><Relationship Id="rId644" Type="http://schemas.openxmlformats.org/officeDocument/2006/relationships/hyperlink" Target="https://www.linkedin.com/learning/data-science-tools-of-the-trade-first-steps" TargetMode="External"/><Relationship Id="rId851" Type="http://schemas.openxmlformats.org/officeDocument/2006/relationships/hyperlink" Target="https://www.linkedin.com/learning/recruiting-foundations" TargetMode="External"/><Relationship Id="rId1274" Type="http://schemas.openxmlformats.org/officeDocument/2006/relationships/hyperlink" Target="https://www.linkedin.com/learning/establishing-credibility-as-a-speaker" TargetMode="External"/><Relationship Id="rId1481" Type="http://schemas.openxmlformats.org/officeDocument/2006/relationships/hyperlink" Target="https://www.linkedin.com/learning/creating-a-positive-and-healthy-work-environment" TargetMode="External"/><Relationship Id="rId1579" Type="http://schemas.openxmlformats.org/officeDocument/2006/relationships/hyperlink" Target="https://www.linkedin.com/learning/inclusive-leadership" TargetMode="External"/><Relationship Id="rId504" Type="http://schemas.openxmlformats.org/officeDocument/2006/relationships/hyperlink" Target="https://www.linkedin.com/learning/banish-your-inner-critic-to-unleash-creativity-revision" TargetMode="External"/><Relationship Id="rId711" Type="http://schemas.openxmlformats.org/officeDocument/2006/relationships/hyperlink" Target="https://www.linkedin.com/learning/ai-in-fintech-essential-training" TargetMode="External"/><Relationship Id="rId949" Type="http://schemas.openxmlformats.org/officeDocument/2006/relationships/hyperlink" Target="https://www.linkedin.com/learning/applied-ai-for-human-resources" TargetMode="External"/><Relationship Id="rId1134" Type="http://schemas.openxmlformats.org/officeDocument/2006/relationships/hyperlink" Target="https://www.linkedin.com/learning/paths/advance-your-skills-as-a-manager" TargetMode="External"/><Relationship Id="rId1341" Type="http://schemas.openxmlformats.org/officeDocument/2006/relationships/hyperlink" Target="https://www.linkedin.com/learning/implementing-lean-a-case-study" TargetMode="External"/><Relationship Id="rId78" Type="http://schemas.openxmlformats.org/officeDocument/2006/relationships/hyperlink" Target="https://www.linkedin.com/learning/mastering-self-leadership" TargetMode="External"/><Relationship Id="rId809" Type="http://schemas.openxmlformats.org/officeDocument/2006/relationships/hyperlink" Target="https://www.linkedin.com/learning/excel-implementing-balanced-scorecards-with-kpis" TargetMode="External"/><Relationship Id="rId1201" Type="http://schemas.openxmlformats.org/officeDocument/2006/relationships/hyperlink" Target="https://www.linkedin.com/learning/creating-a-product-centric-organization" TargetMode="External"/><Relationship Id="rId1439" Type="http://schemas.openxmlformats.org/officeDocument/2006/relationships/hyperlink" Target="https://www.linkedin.com/learning/azure-understanding-the-big-picture-revision-q2-2020" TargetMode="External"/><Relationship Id="rId1646" Type="http://schemas.openxmlformats.org/officeDocument/2006/relationships/hyperlink" Target="https://www.linkedin.com/learning/advanced-grammar" TargetMode="External"/><Relationship Id="rId1506" Type="http://schemas.openxmlformats.org/officeDocument/2006/relationships/hyperlink" Target="https://www.linkedin.com/learning/increase-visibility-to-advance-your-career" TargetMode="External"/><Relationship Id="rId1713" Type="http://schemas.openxmlformats.org/officeDocument/2006/relationships/hyperlink" Target="https://www.linkedin.com/learning/neck-stretching-exercises-for-computer-users-and-texters" TargetMode="External"/><Relationship Id="rId294" Type="http://schemas.openxmlformats.org/officeDocument/2006/relationships/hyperlink" Target="https://www.linkedin.com/learning/zoom-leading-effective-and-engaging-calls" TargetMode="External"/><Relationship Id="rId154" Type="http://schemas.openxmlformats.org/officeDocument/2006/relationships/hyperlink" Target="https://www.linkedin.com/learning/leading-virtual-meetings" TargetMode="External"/><Relationship Id="rId361" Type="http://schemas.openxmlformats.org/officeDocument/2006/relationships/hyperlink" Target="https://www.linkedin.com/learning/advanced-google-analytics" TargetMode="External"/><Relationship Id="rId599" Type="http://schemas.openxmlformats.org/officeDocument/2006/relationships/hyperlink" Target="https://www.linkedin.com/learning/just-ask-dean-karrel-2020" TargetMode="External"/><Relationship Id="rId459" Type="http://schemas.openxmlformats.org/officeDocument/2006/relationships/hyperlink" Target="https://www.linkedin.com/learning/create-a-go-to-market-plan-2,https:/www.linkedin.com/learning/create-a-go-to-market-plan-revision-2020" TargetMode="External"/><Relationship Id="rId666" Type="http://schemas.openxmlformats.org/officeDocument/2006/relationships/hyperlink" Target="https://www.linkedin.com/learning/learning-public-data-sets-2019-revision" TargetMode="External"/><Relationship Id="rId873" Type="http://schemas.openxmlformats.org/officeDocument/2006/relationships/hyperlink" Target="https://www.linkedin.com/learning/hr-as-a-business-partner" TargetMode="External"/><Relationship Id="rId1089" Type="http://schemas.openxmlformats.org/officeDocument/2006/relationships/hyperlink" Target="https://www.linkedin.com/learning/leadership-in-tech" TargetMode="External"/><Relationship Id="rId1296" Type="http://schemas.openxmlformats.org/officeDocument/2006/relationships/hyperlink" Target="https://www.linkedin.com/learning/managing-your-anxiety-while-presenting" TargetMode="External"/><Relationship Id="rId221" Type="http://schemas.openxmlformats.org/officeDocument/2006/relationships/hyperlink" Target="https://www.linkedin.com/learning/humble-leadership-the-power-of-relationships-openness-and-trust-getabstract-summary" TargetMode="External"/><Relationship Id="rId319" Type="http://schemas.openxmlformats.org/officeDocument/2006/relationships/hyperlink" Target="https://www.linkedin.com/learning/successful-networking" TargetMode="External"/><Relationship Id="rId526" Type="http://schemas.openxmlformats.org/officeDocument/2006/relationships/hyperlink" Target="https://www.linkedin.com/learning/building-resilience" TargetMode="External"/><Relationship Id="rId1156" Type="http://schemas.openxmlformats.org/officeDocument/2006/relationships/hyperlink" Target="https://www.linkedin.com/learning/project-leadership" TargetMode="External"/><Relationship Id="rId1363" Type="http://schemas.openxmlformats.org/officeDocument/2006/relationships/hyperlink" Target="https://www.linkedin.com/learning/gemba-kaizen-a-commonsense-approach-to-continuous-improvement-blinkist-summary" TargetMode="External"/><Relationship Id="rId733" Type="http://schemas.openxmlformats.org/officeDocument/2006/relationships/hyperlink" Target="https://www.linkedin.com/learning/pivoting-to-virtual-events" TargetMode="External"/><Relationship Id="rId940" Type="http://schemas.openxmlformats.org/officeDocument/2006/relationships/hyperlink" Target="https://www.linkedin.com/learning/introduction-to-deep-learning-with-opencv" TargetMode="External"/><Relationship Id="rId1016" Type="http://schemas.openxmlformats.org/officeDocument/2006/relationships/hyperlink" Target="https://www.linkedin.com/learning/reframing-organizations-blinkist-summary" TargetMode="External"/><Relationship Id="rId1570" Type="http://schemas.openxmlformats.org/officeDocument/2006/relationships/hyperlink" Target="https://www.linkedin.com/learning/employee-experience" TargetMode="External"/><Relationship Id="rId1668" Type="http://schemas.openxmlformats.org/officeDocument/2006/relationships/hyperlink" Target="https://www.linkedin.com/learning/business-writing-strategies" TargetMode="External"/><Relationship Id="rId800" Type="http://schemas.openxmlformats.org/officeDocument/2006/relationships/hyperlink" Target="https://www.linkedin.com/learning/financial-analysis-analyzing-the-top-line-with-excel" TargetMode="External"/><Relationship Id="rId1223" Type="http://schemas.openxmlformats.org/officeDocument/2006/relationships/hyperlink" Target="https://www.linkedin.com/learning/understanding-business-2019" TargetMode="External"/><Relationship Id="rId1430" Type="http://schemas.openxmlformats.org/officeDocument/2006/relationships/hyperlink" Target="https://www.linkedin.com/learning/learning-logo-design,https:/www.linkedin.com/learning/learning-logo-design-revision" TargetMode="External"/><Relationship Id="rId1528" Type="http://schemas.openxmlformats.org/officeDocument/2006/relationships/hyperlink" Target="https://www.linkedin.com/learning/employee-experience" TargetMode="External"/><Relationship Id="rId1735" Type="http://schemas.openxmlformats.org/officeDocument/2006/relationships/hyperlink" Target="https://www.linkedin.com/learning/sheryl-sandberg-and-adam-grant-on-option-b-building-resilience" TargetMode="External"/><Relationship Id="rId27" Type="http://schemas.openxmlformats.org/officeDocument/2006/relationships/hyperlink" Target="https://www.linkedin.com/learning/proven-tips-for-managing-your-time-2019" TargetMode="External"/><Relationship Id="rId176" Type="http://schemas.openxmlformats.org/officeDocument/2006/relationships/hyperlink" Target="https://www.linkedin.com/learning/managing-team-conflict" TargetMode="External"/><Relationship Id="rId383" Type="http://schemas.openxmlformats.org/officeDocument/2006/relationships/hyperlink" Target="https://www.linkedin.com/learning/social-media-video-for-business-and-marketing" TargetMode="External"/><Relationship Id="rId590" Type="http://schemas.openxmlformats.org/officeDocument/2006/relationships/hyperlink" Target="https://www.linkedin.com/learning/empathy-in-ux-design" TargetMode="External"/><Relationship Id="rId243" Type="http://schemas.openxmlformats.org/officeDocument/2006/relationships/hyperlink" Target="https://www.linkedin.com/learning/empathy-at-work" TargetMode="External"/><Relationship Id="rId450" Type="http://schemas.openxmlformats.org/officeDocument/2006/relationships/hyperlink" Target="https://www.linkedin.com/learning/advertising-on-youtube-2019" TargetMode="External"/><Relationship Id="rId688" Type="http://schemas.openxmlformats.org/officeDocument/2006/relationships/hyperlink" Target="https://www.linkedin.com/learning/lessons-from-data-scientists" TargetMode="External"/><Relationship Id="rId895" Type="http://schemas.openxmlformats.org/officeDocument/2006/relationships/hyperlink" Target="https://www.linkedin.com/learning/articulate-storyline-quick-tips" TargetMode="External"/><Relationship Id="rId1080" Type="http://schemas.openxmlformats.org/officeDocument/2006/relationships/hyperlink" Target="https://www.linkedin.com/learning/the-secret-what-great-leaders-know-and-do-getabstract-summary" TargetMode="External"/><Relationship Id="rId103" Type="http://schemas.openxmlformats.org/officeDocument/2006/relationships/hyperlink" Target="https://www.linkedin.com/learning/subtle-shifts-in-thinking-for-tremendous-resilience" TargetMode="External"/><Relationship Id="rId310" Type="http://schemas.openxmlformats.org/officeDocument/2006/relationships/hyperlink" Target="https://www.linkedin.com/learning/how-to-develop-friendships-and-connect-meaningfully-with-work-colleagues" TargetMode="External"/><Relationship Id="rId548" Type="http://schemas.openxmlformats.org/officeDocument/2006/relationships/hyperlink" Target="https://www.linkedin.com/learning/crafting-problem-and-solution-statements" TargetMode="External"/><Relationship Id="rId755" Type="http://schemas.openxmlformats.org/officeDocument/2006/relationships/hyperlink" Target="https://www.linkedin.com/learning/articulate-storyline-quick-tips" TargetMode="External"/><Relationship Id="rId962" Type="http://schemas.openxmlformats.org/officeDocument/2006/relationships/hyperlink" Target="https://www.linkedin.com/learning/exploratory-testing" TargetMode="External"/><Relationship Id="rId1178" Type="http://schemas.openxmlformats.org/officeDocument/2006/relationships/hyperlink" Target="https://www.linkedin.com/learning/coaching-employees-through-difficult-situations" TargetMode="External"/><Relationship Id="rId1385" Type="http://schemas.openxmlformats.org/officeDocument/2006/relationships/hyperlink" Target="https://www.linkedin.com/learning/social-selling-foundations-2019" TargetMode="External"/><Relationship Id="rId1592" Type="http://schemas.openxmlformats.org/officeDocument/2006/relationships/hyperlink" Target="https://www.linkedin.com/learning/teaching-civility-in-the-workplace" TargetMode="External"/><Relationship Id="rId91" Type="http://schemas.openxmlformats.org/officeDocument/2006/relationships/hyperlink" Target="https://www.linkedin.com/learning/learning-agility" TargetMode="External"/><Relationship Id="rId408" Type="http://schemas.openxmlformats.org/officeDocument/2006/relationships/hyperlink" Target="https://www.linkedin.com/learning/marketing-on-instagram-revision-2020" TargetMode="External"/><Relationship Id="rId615" Type="http://schemas.openxmlformats.org/officeDocument/2006/relationships/hyperlink" Target="https://www.linkedin.com/learning/aligning-customer-experience-with-company-culture" TargetMode="External"/><Relationship Id="rId822" Type="http://schemas.openxmlformats.org/officeDocument/2006/relationships/hyperlink" Target="https://www.linkedin.com/learning/human-resources-understanding-hr-systems-features-and-benefits" TargetMode="External"/><Relationship Id="rId1038" Type="http://schemas.openxmlformats.org/officeDocument/2006/relationships/hyperlink" Target="https://www.linkedin.com/learning/paths/leading-others-effectively" TargetMode="External"/><Relationship Id="rId1245" Type="http://schemas.openxmlformats.org/officeDocument/2006/relationships/hyperlink" Target="https://www.linkedin.com/learning/ux-deep-dive-remote-research" TargetMode="External"/><Relationship Id="rId1452" Type="http://schemas.openxmlformats.org/officeDocument/2006/relationships/hyperlink" Target="https://www.linkedin.com/learning/technology-ethics" TargetMode="External"/><Relationship Id="rId1105" Type="http://schemas.openxmlformats.org/officeDocument/2006/relationships/hyperlink" Target="https://www.linkedin.com/learning/inclusive-leadership" TargetMode="External"/><Relationship Id="rId1312" Type="http://schemas.openxmlformats.org/officeDocument/2006/relationships/hyperlink" Target="https://www.linkedin.com/learning/data-visualization-storytelling" TargetMode="External"/><Relationship Id="rId1757" Type="http://schemas.openxmlformats.org/officeDocument/2006/relationships/hyperlink" Target="https://www.linkedin.com/learning/arianna-huffington-s-thrive-04-facing-challenges-with-gratitude-and-forgiveness" TargetMode="External"/><Relationship Id="rId49" Type="http://schemas.openxmlformats.org/officeDocument/2006/relationships/hyperlink" Target="https://www.linkedin.com/learning/prioritizing-tasks-for-maximum-impact" TargetMode="External"/><Relationship Id="rId1617" Type="http://schemas.openxmlformats.org/officeDocument/2006/relationships/hyperlink" Target="https://www.linkedin.com/learning/shane-snow-on-dream-teams" TargetMode="External"/><Relationship Id="rId198" Type="http://schemas.openxmlformats.org/officeDocument/2006/relationships/hyperlink" Target="https://www.linkedin.com/learning/developing-self-awareness" TargetMode="External"/><Relationship Id="rId265" Type="http://schemas.openxmlformats.org/officeDocument/2006/relationships/hyperlink" Target="https://www.linkedin.com/learning/women-transforming-tech-breaking-in-and-staying-in-the-industry" TargetMode="External"/><Relationship Id="rId472" Type="http://schemas.openxmlformats.org/officeDocument/2006/relationships/hyperlink" Target="https://www.linkedin.com/learning/start-a-marketing-business-concept-to-launch" TargetMode="External"/><Relationship Id="rId125" Type="http://schemas.openxmlformats.org/officeDocument/2006/relationships/hyperlink" Target="https://www.linkedin.com/learning/managing-organizational-change-for-managers" TargetMode="External"/><Relationship Id="rId332" Type="http://schemas.openxmlformats.org/officeDocument/2006/relationships/hyperlink" Target="https://www.linkedin.com/learning/improving-your-conflict-competence" TargetMode="External"/><Relationship Id="rId777" Type="http://schemas.openxmlformats.org/officeDocument/2006/relationships/hyperlink" Target="https://www.linkedin.com/learning/foundations-of-managerial-accounting" TargetMode="External"/><Relationship Id="rId984" Type="http://schemas.openxmlformats.org/officeDocument/2006/relationships/hyperlink" Target="https://www.linkedin.com/learning/key-psychological-principles-for-ethical-persuasion" TargetMode="External"/><Relationship Id="rId637" Type="http://schemas.openxmlformats.org/officeDocument/2006/relationships/hyperlink" Target="https://www.linkedin.com/learning/the-data-science-of-media-and-entertainment-with-barton-poulson" TargetMode="External"/><Relationship Id="rId844" Type="http://schemas.openxmlformats.org/officeDocument/2006/relationships/hyperlink" Target="https://www.linkedin.com/learning/inclusion-during-difficult-times" TargetMode="External"/><Relationship Id="rId1267" Type="http://schemas.openxmlformats.org/officeDocument/2006/relationships/hyperlink" Target="https://www.linkedin.com/learning/ai-in-fintech-essential-training" TargetMode="External"/><Relationship Id="rId1474" Type="http://schemas.openxmlformats.org/officeDocument/2006/relationships/hyperlink" Target="https://www.linkedin.com/learning/azure-for-architects-design-a-business-continuity-strategy" TargetMode="External"/><Relationship Id="rId1681" Type="http://schemas.openxmlformats.org/officeDocument/2006/relationships/hyperlink" Target="https://www.linkedin.com/learning/writing-the-craft-of-story" TargetMode="External"/><Relationship Id="rId704" Type="http://schemas.openxmlformats.org/officeDocument/2006/relationships/hyperlink" Target="https://www.linkedin.com/learning/sql-data-reporting-and-analysis-2020-revision" TargetMode="External"/><Relationship Id="rId911" Type="http://schemas.openxmlformats.org/officeDocument/2006/relationships/hyperlink" Target="https://www.linkedin.com/learning/learning-cloud-computing-core-concepts-2019-revision" TargetMode="External"/><Relationship Id="rId1127" Type="http://schemas.openxmlformats.org/officeDocument/2006/relationships/hyperlink" Target="https://www.linkedin.com/learning/how-to-innovate-and-stay-relevant-in-times-of-change-and-uncertainty-uk" TargetMode="External"/><Relationship Id="rId1334" Type="http://schemas.openxmlformats.org/officeDocument/2006/relationships/hyperlink" Target="https://www.linkedin.com/learning/skilled-trades-resumes-and-portfolios" TargetMode="External"/><Relationship Id="rId1541" Type="http://schemas.openxmlformats.org/officeDocument/2006/relationships/hyperlink" Target="https://www.linkedin.com/learning/creating-a-positive-and-healthy-work-environment/welcome" TargetMode="External"/><Relationship Id="rId40" Type="http://schemas.openxmlformats.org/officeDocument/2006/relationships/hyperlink" Target="https://www.linkedin.com/learning/time-management-tips-communication-2019" TargetMode="External"/><Relationship Id="rId1401" Type="http://schemas.openxmlformats.org/officeDocument/2006/relationships/hyperlink" Target="https://www.linkedin.com/learning/jeffrey-gitomer-s-little-red-book-of-sales-answers-getabstract-summary" TargetMode="External"/><Relationship Id="rId1639" Type="http://schemas.openxmlformats.org/officeDocument/2006/relationships/hyperlink" Target="https://www.linkedin.com/learning/recruiting-veterans/welcome" TargetMode="External"/><Relationship Id="rId1706" Type="http://schemas.openxmlformats.org/officeDocument/2006/relationships/hyperlink" Target="https://www.linkedin.com/learning/teaching-civility-in-the-workplace" TargetMode="External"/><Relationship Id="rId287" Type="http://schemas.openxmlformats.org/officeDocument/2006/relationships/hyperlink" Target="https://www.linkedin.com/learning/building-trust-6" TargetMode="External"/><Relationship Id="rId494" Type="http://schemas.openxmlformats.org/officeDocument/2006/relationships/hyperlink" Target="https://www.linkedin.com/learning/practical-creativity-for-everyone" TargetMode="External"/><Relationship Id="rId147" Type="http://schemas.openxmlformats.org/officeDocument/2006/relationships/hyperlink" Target="https://www.linkedin.com/learning/dealing-with-the-seven-deadly-wastes" TargetMode="External"/><Relationship Id="rId354" Type="http://schemas.openxmlformats.org/officeDocument/2006/relationships/hyperlink" Target="https://www.linkedin.com/learning/managing-misconduct-in-the-workplace-uk" TargetMode="External"/><Relationship Id="rId799" Type="http://schemas.openxmlformats.org/officeDocument/2006/relationships/hyperlink" Target="https://www.linkedin.com/learning/financial-analysis-analyzing-the-bottom-line-with-excel" TargetMode="External"/><Relationship Id="rId1191" Type="http://schemas.openxmlformats.org/officeDocument/2006/relationships/hyperlink" Target="https://www.linkedin.com/learning/managing-for-better-ideas" TargetMode="External"/><Relationship Id="rId561" Type="http://schemas.openxmlformats.org/officeDocument/2006/relationships/hyperlink" Target="https://www.linkedin.com/learning/paths/become-a-customer-service-manager" TargetMode="External"/><Relationship Id="rId659" Type="http://schemas.openxmlformats.org/officeDocument/2006/relationships/hyperlink" Target="https://www.linkedin.com/learning/sas-9-4-cert-prep-analyzing-and-reporting-on-data" TargetMode="External"/><Relationship Id="rId866" Type="http://schemas.openxmlformats.org/officeDocument/2006/relationships/hyperlink" Target="https://www.linkedin.com/learning/driving-workplace-happiness" TargetMode="External"/><Relationship Id="rId1289" Type="http://schemas.openxmlformats.org/officeDocument/2006/relationships/hyperlink" Target="https://www.linkedin.com/learning/boosting-your-confidence-public-speaking-and-performance" TargetMode="External"/><Relationship Id="rId1496" Type="http://schemas.openxmlformats.org/officeDocument/2006/relationships/hyperlink" Target="https://www.linkedin.com/learning/delegating-tasks" TargetMode="External"/><Relationship Id="rId214" Type="http://schemas.openxmlformats.org/officeDocument/2006/relationships/hyperlink" Target="https://www.linkedin.com/learning/communicating-with-transparency" TargetMode="External"/><Relationship Id="rId421" Type="http://schemas.openxmlformats.org/officeDocument/2006/relationships/hyperlink" Target="https://www.linkedin.com/learning/international-seo-revision-2020" TargetMode="External"/><Relationship Id="rId519" Type="http://schemas.openxmlformats.org/officeDocument/2006/relationships/hyperlink" Target="https://www.linkedin.com/learning/managing-innovation" TargetMode="External"/><Relationship Id="rId1051" Type="http://schemas.openxmlformats.org/officeDocument/2006/relationships/hyperlink" Target="https://www.linkedin.com/learning/developing-credibility-as-a-leader" TargetMode="External"/><Relationship Id="rId1149" Type="http://schemas.openxmlformats.org/officeDocument/2006/relationships/hyperlink" Target="https://www.linkedin.com/learning/how-to-give-and-receive-useful-feedback-every-month" TargetMode="External"/><Relationship Id="rId1356" Type="http://schemas.openxmlformats.org/officeDocument/2006/relationships/hyperlink" Target="https://www.linkedin.com/learning/construction-industry-safety" TargetMode="External"/><Relationship Id="rId158" Type="http://schemas.openxmlformats.org/officeDocument/2006/relationships/hyperlink" Target="https://www.linkedin.com/learning/managing-virtual-teams-4" TargetMode="External"/><Relationship Id="rId726" Type="http://schemas.openxmlformats.org/officeDocument/2006/relationships/hyperlink" Target="https://www.linkedin.com/learning/build-your-own-baller-training-quick-start-guide" TargetMode="External"/><Relationship Id="rId933" Type="http://schemas.openxmlformats.org/officeDocument/2006/relationships/hyperlink" Target="https://www.linkedin.com/learning/agile-testing-2" TargetMode="External"/><Relationship Id="rId1009" Type="http://schemas.openxmlformats.org/officeDocument/2006/relationships/hyperlink" Target="https://www.linkedin.com/learning/the-purpose-effect-getabstract-summary" TargetMode="External"/><Relationship Id="rId1563" Type="http://schemas.openxmlformats.org/officeDocument/2006/relationships/hyperlink" Target="https://www.linkedin.com/learning/leading-professionals-power-politics-and-prima-donnas-getabstract-summary" TargetMode="External"/><Relationship Id="rId62" Type="http://schemas.openxmlformats.org/officeDocument/2006/relationships/hyperlink" Target="https://www.linkedin.com/learning/holding-your-team-accountable" TargetMode="External"/><Relationship Id="rId365" Type="http://schemas.openxmlformats.org/officeDocument/2006/relationships/hyperlink" Target="https://www.linkedin.com/learning/seo-link-building-revision-2020" TargetMode="External"/><Relationship Id="rId572" Type="http://schemas.openxmlformats.org/officeDocument/2006/relationships/hyperlink" Target="https://www.linkedin.com/learning/listening-to-customers" TargetMode="External"/><Relationship Id="rId1216" Type="http://schemas.openxmlformats.org/officeDocument/2006/relationships/hyperlink" Target="https://www.linkedin.com/learning/lean-inventory-management" TargetMode="External"/><Relationship Id="rId1423" Type="http://schemas.openxmlformats.org/officeDocument/2006/relationships/hyperlink" Target="https://www.linkedin.com/learning/strategic-partnerships-ecosystems-and-platforms" TargetMode="External"/><Relationship Id="rId1630" Type="http://schemas.openxmlformats.org/officeDocument/2006/relationships/hyperlink" Target="https://www.linkedin.com/learning/fostering-belonging-as-a-leader" TargetMode="External"/><Relationship Id="rId225" Type="http://schemas.openxmlformats.org/officeDocument/2006/relationships/hyperlink" Target="https://www.linkedin.com/learning/business-ethics-2019" TargetMode="External"/><Relationship Id="rId432" Type="http://schemas.openxmlformats.org/officeDocument/2006/relationships/hyperlink" Target="https://www.linkedin.com/learning/social-media-for-video-pros-revision" TargetMode="External"/><Relationship Id="rId877" Type="http://schemas.openxmlformats.org/officeDocument/2006/relationships/hyperlink" Target="https://www.linkedin.com/learning/human-resources-payroll" TargetMode="External"/><Relationship Id="rId1062" Type="http://schemas.openxmlformats.org/officeDocument/2006/relationships/hyperlink" Target="https://www.linkedin.com/learning/women-transforming-tech-finding-sponsors" TargetMode="External"/><Relationship Id="rId1728" Type="http://schemas.openxmlformats.org/officeDocument/2006/relationships/hyperlink" Target="https://www.linkedin.com/learning/meditation-audio-course" TargetMode="External"/><Relationship Id="rId737" Type="http://schemas.openxmlformats.org/officeDocument/2006/relationships/hyperlink" Target="https://www.linkedin.com/learning/design-thinking-implementing-the-process-revision-2021" TargetMode="External"/><Relationship Id="rId944" Type="http://schemas.openxmlformats.org/officeDocument/2006/relationships/hyperlink" Target="https://www.linkedin.com/learning/sap-materials-management-essential-training" TargetMode="External"/><Relationship Id="rId1367" Type="http://schemas.openxmlformats.org/officeDocument/2006/relationships/hyperlink" Target="https://www.linkedin.com/learning/adaptive-project-leadership/be-an-adaptive-leader" TargetMode="External"/><Relationship Id="rId1574" Type="http://schemas.openxmlformats.org/officeDocument/2006/relationships/hyperlink" Target="https://www.linkedin.com/learning/predictive-analytics-essential-training-for-executives" TargetMode="External"/><Relationship Id="rId73" Type="http://schemas.openxmlformats.org/officeDocument/2006/relationships/hyperlink" Target="https://www.linkedin.com/learning/the-sweet-spot-how-to-accomplish-more-by-doing-less" TargetMode="External"/><Relationship Id="rId169" Type="http://schemas.openxmlformats.org/officeDocument/2006/relationships/hyperlink" Target="https://www.linkedin.com/learning/building-high-performance-teams" TargetMode="External"/><Relationship Id="rId376" Type="http://schemas.openxmlformats.org/officeDocument/2006/relationships/hyperlink" Target="https://www.linkedin.com/learning/mobile-marketing-foundations-2" TargetMode="External"/><Relationship Id="rId583" Type="http://schemas.openxmlformats.org/officeDocument/2006/relationships/hyperlink" Target="https://www.linkedin.com/learning/avoiding-common-pitfalls-in-customer-success-management" TargetMode="External"/><Relationship Id="rId790" Type="http://schemas.openxmlformats.org/officeDocument/2006/relationships/hyperlink" Target="https://www.linkedin.com/learning/recovering-from-a-financial-setback" TargetMode="External"/><Relationship Id="rId804" Type="http://schemas.openxmlformats.org/officeDocument/2006/relationships/hyperlink" Target="https://www.linkedin.com/learning/forecasting-using-financial-statements" TargetMode="External"/><Relationship Id="rId1227" Type="http://schemas.openxmlformats.org/officeDocument/2006/relationships/hyperlink" Target="https://www.linkedin.com/learning/implementing-lean-a-case-study" TargetMode="External"/><Relationship Id="rId1434" Type="http://schemas.openxmlformats.org/officeDocument/2006/relationships/hyperlink" Target="https://www.linkedin.com/learning/the-new-age-of-risk-management-strategy-for-business" TargetMode="External"/><Relationship Id="rId1641" Type="http://schemas.openxmlformats.org/officeDocument/2006/relationships/hyperlink" Target="https://www.linkedin.com/learning/women-helping-women-succeed-in-the-workplace/sallie-krawcheck-plant-the-seeds-to-secure-your-financial-future" TargetMode="External"/><Relationship Id="rId4" Type="http://schemas.openxmlformats.org/officeDocument/2006/relationships/hyperlink" Target="https://www.linkedin.com/learning/building-resilience/welcome" TargetMode="External"/><Relationship Id="rId236" Type="http://schemas.openxmlformats.org/officeDocument/2006/relationships/hyperlink" Target="https://www.linkedin.com/learning/business-collaboration-in-the-modern-workplace/conversational-tools-email-and-chat" TargetMode="External"/><Relationship Id="rId443" Type="http://schemas.openxmlformats.org/officeDocument/2006/relationships/hyperlink" Target="https://www.linkedin.com/learning/artificial-intelligence-for-marketing" TargetMode="External"/><Relationship Id="rId650" Type="http://schemas.openxmlformats.org/officeDocument/2006/relationships/hyperlink" Target="https://www.linkedin.com/learning/learning-data-science-understanding-the-basics/welcome" TargetMode="External"/><Relationship Id="rId888" Type="http://schemas.openxmlformats.org/officeDocument/2006/relationships/hyperlink" Target="https://www.linkedin.com/learning/interviewing-a-job-candidate-for-recruiters-2020" TargetMode="External"/><Relationship Id="rId1073" Type="http://schemas.openxmlformats.org/officeDocument/2006/relationships/hyperlink" Target="https://www.linkedin.com/learning/project-leadership" TargetMode="External"/><Relationship Id="rId1280" Type="http://schemas.openxmlformats.org/officeDocument/2006/relationships/hyperlink" Target="https://www.linkedin.com/learning/running-a-design-business-presentation-skills" TargetMode="External"/><Relationship Id="rId1501" Type="http://schemas.openxmlformats.org/officeDocument/2006/relationships/hyperlink" Target="https://www.linkedin.com/learning/rules-for-rising-leaders" TargetMode="External"/><Relationship Id="rId1739" Type="http://schemas.openxmlformats.org/officeDocument/2006/relationships/hyperlink" Target="https://www.linkedin.com/learning/being-the-best-you-self-improvement-modeling" TargetMode="External"/><Relationship Id="rId303" Type="http://schemas.openxmlformats.org/officeDocument/2006/relationships/hyperlink" Target="https://www.linkedin.com/learning/speaking-up-at-work" TargetMode="External"/><Relationship Id="rId748" Type="http://schemas.openxmlformats.org/officeDocument/2006/relationships/hyperlink" Target="https://www.linkedin.com/learning/designing-a-training-program-setting-goals-objectives-and-mediums" TargetMode="External"/><Relationship Id="rId955" Type="http://schemas.openxmlformats.org/officeDocument/2006/relationships/hyperlink" Target="https://www.linkedin.com/learning/devops-foundations-infrastructure-as-code" TargetMode="External"/><Relationship Id="rId1140" Type="http://schemas.openxmlformats.org/officeDocument/2006/relationships/hyperlink" Target="https://www.linkedin.com/learning/managing-high-performers" TargetMode="External"/><Relationship Id="rId1378" Type="http://schemas.openxmlformats.org/officeDocument/2006/relationships/hyperlink" Target="https://www.linkedin.com/learning/trello-for-agile-teams" TargetMode="External"/><Relationship Id="rId1585" Type="http://schemas.openxmlformats.org/officeDocument/2006/relationships/hyperlink" Target="https://www.linkedin.com/learning/paths/transition-from-military-to-student-life?" TargetMode="External"/><Relationship Id="rId84" Type="http://schemas.openxmlformats.org/officeDocument/2006/relationships/hyperlink" Target="https://www.linkedin.com/learning/negotiating-work-flexibility" TargetMode="External"/><Relationship Id="rId387" Type="http://schemas.openxmlformats.org/officeDocument/2006/relationships/hyperlink" Target="https://www.linkedin.com/learning/determining-market-size-for-your-product-or-service" TargetMode="External"/><Relationship Id="rId510" Type="http://schemas.openxmlformats.org/officeDocument/2006/relationships/hyperlink" Target="https://www.linkedin.com/learning/building-and-managing-signature-products" TargetMode="External"/><Relationship Id="rId594" Type="http://schemas.openxmlformats.org/officeDocument/2006/relationships/hyperlink" Target="https://www.linkedin.com/learning/customer-service-managing-customer-feedback" TargetMode="External"/><Relationship Id="rId608" Type="http://schemas.openxmlformats.org/officeDocument/2006/relationships/hyperlink" Target="https://www.linkedin.com/learning/leading-a-customer-centric-culture-2" TargetMode="External"/><Relationship Id="rId815" Type="http://schemas.openxmlformats.org/officeDocument/2006/relationships/hyperlink" Target="https://www.linkedin.com/learning/hiring-and-developing-your-future-workforce/make-human-resources-a-partner" TargetMode="External"/><Relationship Id="rId1238" Type="http://schemas.openxmlformats.org/officeDocument/2006/relationships/hyperlink" Target="https://www.linkedin.com/learning/supply-chain-basics-for-everyone" TargetMode="External"/><Relationship Id="rId1445" Type="http://schemas.openxmlformats.org/officeDocument/2006/relationships/hyperlink" Target="https://www.linkedin.com/learning/the-45-minute-business-plan" TargetMode="External"/><Relationship Id="rId1652" Type="http://schemas.openxmlformats.org/officeDocument/2006/relationships/hyperlink" Target="https://www.linkedin.com/learning/technical-writing-reports" TargetMode="External"/><Relationship Id="rId247" Type="http://schemas.openxmlformats.org/officeDocument/2006/relationships/hyperlink" Target="https://www.linkedin.com/learning/paths/improve-your-interoffice-politics-skills" TargetMode="External"/><Relationship Id="rId899" Type="http://schemas.openxmlformats.org/officeDocument/2006/relationships/hyperlink" Target="https://www.linkedin.com/learning/cissp-cert-prep-5-identity-and-access-management-2" TargetMode="External"/><Relationship Id="rId1000" Type="http://schemas.openxmlformats.org/officeDocument/2006/relationships/hyperlink" Target="https://www.linkedin.com/learning/leading-with-fearless-mindfulness" TargetMode="External"/><Relationship Id="rId1084" Type="http://schemas.openxmlformats.org/officeDocument/2006/relationships/hyperlink" Target="https://www.linkedin.com/learning/the-leader-habit-blinkist-summary" TargetMode="External"/><Relationship Id="rId1305" Type="http://schemas.openxmlformats.org/officeDocument/2006/relationships/hyperlink" Target="https://www.linkedin.com/learning/powerpoint-designing-better-slides" TargetMode="External"/><Relationship Id="rId107" Type="http://schemas.openxmlformats.org/officeDocument/2006/relationships/hyperlink" Target="https://www.linkedin.com/learning/real-estate-developing-a-growth-mindset" TargetMode="External"/><Relationship Id="rId454" Type="http://schemas.openxmlformats.org/officeDocument/2006/relationships/hyperlink" Target="https://www.linkedin.com/learning/b2b-marketing-on-linkedin-2,https:/www.linkedin.com/learning/b2b-marketing-on-linkedin-revision-2020" TargetMode="External"/><Relationship Id="rId661" Type="http://schemas.openxmlformats.org/officeDocument/2006/relationships/hyperlink" Target="https://www.linkedin.com/learning/data-ethics-making-data-driven-decisions" TargetMode="External"/><Relationship Id="rId759" Type="http://schemas.openxmlformats.org/officeDocument/2006/relationships/hyperlink" Target="https://www.linkedin.com/learning/the-five-step-guide-to-mastering-your-money" TargetMode="External"/><Relationship Id="rId966" Type="http://schemas.openxmlformats.org/officeDocument/2006/relationships/hyperlink" Target="https://www.linkedin.com/learning/exchange-2016-client-access-services" TargetMode="External"/><Relationship Id="rId1291" Type="http://schemas.openxmlformats.org/officeDocument/2006/relationships/hyperlink" Target="https://www.linkedin.com/learning/designing-a-presentation-2/designing-a-presentation" TargetMode="External"/><Relationship Id="rId1389" Type="http://schemas.openxmlformats.org/officeDocument/2006/relationships/hyperlink" Target="https://www.linkedin.com/learning/avoiding-common-pitfalls-in-customer-success-management" TargetMode="External"/><Relationship Id="rId1512" Type="http://schemas.openxmlformats.org/officeDocument/2006/relationships/hyperlink" Target="https://www.linkedin.com/learning/coaching-and-developing-employees-4/become-a-great-coach-and-leader" TargetMode="External"/><Relationship Id="rId1596" Type="http://schemas.openxmlformats.org/officeDocument/2006/relationships/hyperlink" Target="https://www.linkedin.com/learning/marketing-to-diverse-audiences/you-know-less-than-you-think?" TargetMode="External"/><Relationship Id="rId11" Type="http://schemas.openxmlformats.org/officeDocument/2006/relationships/hyperlink" Target="https://www.linkedin.com/learning/enhancing-your-productivity" TargetMode="External"/><Relationship Id="rId314" Type="http://schemas.openxmlformats.org/officeDocument/2006/relationships/hyperlink" Target="https://www.linkedin.com/learning/preparing-for-successful-communication" TargetMode="External"/><Relationship Id="rId398" Type="http://schemas.openxmlformats.org/officeDocument/2006/relationships/hyperlink" Target="https://www.linkedin.com/learning/learning-mailchimp-2019" TargetMode="External"/><Relationship Id="rId521" Type="http://schemas.openxmlformats.org/officeDocument/2006/relationships/hyperlink" Target="https://www.linkedin.com/learning/critical-thinking-for-better-judgment-and-decision-making" TargetMode="External"/><Relationship Id="rId619" Type="http://schemas.openxmlformats.org/officeDocument/2006/relationships/hyperlink" Target="https://www.linkedin.com/learning/serving-customers-using-social-media-2019" TargetMode="External"/><Relationship Id="rId1151" Type="http://schemas.openxmlformats.org/officeDocument/2006/relationships/hyperlink" Target="https://www.linkedin.com/learning/the-benefits-of-standardization-and-standard-work" TargetMode="External"/><Relationship Id="rId1249" Type="http://schemas.openxmlformats.org/officeDocument/2006/relationships/hyperlink" Target="https://www.linkedin.com/learning/enterprise-agile-changing-your-culture" TargetMode="External"/><Relationship Id="rId95" Type="http://schemas.openxmlformats.org/officeDocument/2006/relationships/hyperlink" Target="https://www.linkedin.com/learning/cultivating-a-growth-mindset" TargetMode="External"/><Relationship Id="rId160" Type="http://schemas.openxmlformats.org/officeDocument/2006/relationships/hyperlink" Target="https://www.linkedin.com/learning/rewarding-employee-performance" TargetMode="External"/><Relationship Id="rId826" Type="http://schemas.openxmlformats.org/officeDocument/2006/relationships/hyperlink" Target="https://www.linkedin.com/learning/human-resources-pay-strategy-2020" TargetMode="External"/><Relationship Id="rId1011" Type="http://schemas.openxmlformats.org/officeDocument/2006/relationships/hyperlink" Target="https://www.linkedin.com/learning/leading-like-a-futurist" TargetMode="External"/><Relationship Id="rId1109" Type="http://schemas.openxmlformats.org/officeDocument/2006/relationships/hyperlink" Target="https://www.linkedin.com/learning/leading-effectively" TargetMode="External"/><Relationship Id="rId1456" Type="http://schemas.openxmlformats.org/officeDocument/2006/relationships/hyperlink" Target="https://www.linkedin.com/learning/corporate-finance-strategies-for-business-leaders" TargetMode="External"/><Relationship Id="rId1663" Type="http://schemas.openxmlformats.org/officeDocument/2006/relationships/hyperlink" Target="https://www.linkedin.com/learning/writing-a-proposal" TargetMode="External"/><Relationship Id="rId258" Type="http://schemas.openxmlformats.org/officeDocument/2006/relationships/hyperlink" Target="https://www.linkedin.com/learning/learning-to-be-approachable" TargetMode="External"/><Relationship Id="rId465" Type="http://schemas.openxmlformats.org/officeDocument/2006/relationships/hyperlink" Target="https://www.linkedin.com/learning/seo-videos-2020" TargetMode="External"/><Relationship Id="rId672" Type="http://schemas.openxmlformats.org/officeDocument/2006/relationships/hyperlink" Target="https://www.linkedin.com/learning/data-science-foundations-data-mining/welcome" TargetMode="External"/><Relationship Id="rId1095" Type="http://schemas.openxmlformats.org/officeDocument/2006/relationships/hyperlink" Target="https://www.linkedin.com/learning/demonstrating-accountabilty-as-a-leader" TargetMode="External"/><Relationship Id="rId1316" Type="http://schemas.openxmlformats.org/officeDocument/2006/relationships/hyperlink" Target="https://www.linkedin.com/learning/powerpoint-2016-audio-and-video-in-depth" TargetMode="External"/><Relationship Id="rId1523" Type="http://schemas.openxmlformats.org/officeDocument/2006/relationships/hyperlink" Target="https://www.linkedin.com/learning/coaching-for-results" TargetMode="External"/><Relationship Id="rId1730" Type="http://schemas.openxmlformats.org/officeDocument/2006/relationships/hyperlink" Target="https://www.linkedin.com/learning/humor-in-the-workplace" TargetMode="External"/><Relationship Id="rId22" Type="http://schemas.openxmlformats.org/officeDocument/2006/relationships/hyperlink" Target="https://www.linkedin.com/learning/prioritizing-effectively-as-a-leader" TargetMode="External"/><Relationship Id="rId118" Type="http://schemas.openxmlformats.org/officeDocument/2006/relationships/hyperlink" Target="https://www.linkedin.com/learning/working-from-home-strategies-for-success" TargetMode="External"/><Relationship Id="rId325" Type="http://schemas.openxmlformats.org/officeDocument/2006/relationships/hyperlink" Target="https://www.linkedin.com/learning/how-to-resolve-conflict-and-boost-productivity-through-deep-listening" TargetMode="External"/><Relationship Id="rId532" Type="http://schemas.openxmlformats.org/officeDocument/2006/relationships/hyperlink" Target="https://www.linkedin.com/learning/developing-a-learning-mindset" TargetMode="External"/><Relationship Id="rId977" Type="http://schemas.openxmlformats.org/officeDocument/2006/relationships/hyperlink" Target="https://www.linkedin.com/learning/power-bi-data-modeling-with-dax" TargetMode="External"/><Relationship Id="rId1162" Type="http://schemas.openxmlformats.org/officeDocument/2006/relationships/hyperlink" Target="https://www.linkedin.com/learning/coaching-and-developing-employees-4" TargetMode="External"/><Relationship Id="rId171" Type="http://schemas.openxmlformats.org/officeDocument/2006/relationships/hyperlink" Target="https://www.linkedin.com/learning/enhancing-team-innovation" TargetMode="External"/><Relationship Id="rId837" Type="http://schemas.openxmlformats.org/officeDocument/2006/relationships/hyperlink" Target="https://www.linkedin.com/learning/connecting-with-your-millennial-manager" TargetMode="External"/><Relationship Id="rId1022" Type="http://schemas.openxmlformats.org/officeDocument/2006/relationships/hyperlink" Target="https://www.linkedin.com/learning/mastering-self-leadership" TargetMode="External"/><Relationship Id="rId1467" Type="http://schemas.openxmlformats.org/officeDocument/2006/relationships/hyperlink" Target="https://www.linkedin.com/learning/strategic-planning-foundations" TargetMode="External"/><Relationship Id="rId1674" Type="http://schemas.openxmlformats.org/officeDocument/2006/relationships/hyperlink" Target="https://www.linkedin.com/learning/writing-formal-business-letters-and-emails" TargetMode="External"/><Relationship Id="rId269" Type="http://schemas.openxmlformats.org/officeDocument/2006/relationships/hyperlink" Target="https://www.linkedin.com/learning/social-success-at-work" TargetMode="External"/><Relationship Id="rId476" Type="http://schemas.openxmlformats.org/officeDocument/2006/relationships/hyperlink" Target="https://www.linkedin.com/learning/creativity-bootcamp" TargetMode="External"/><Relationship Id="rId683" Type="http://schemas.openxmlformats.org/officeDocument/2006/relationships/hyperlink" Target="https://www.linkedin.com/learning/excel-data-analysis-forecasting" TargetMode="External"/><Relationship Id="rId890" Type="http://schemas.openxmlformats.org/officeDocument/2006/relationships/hyperlink" Target="https://www.linkedin.com/learning/setting-and-managing-realistic-expectations-for-your-l-d-program" TargetMode="External"/><Relationship Id="rId904" Type="http://schemas.openxmlformats.org/officeDocument/2006/relationships/hyperlink" Target="https://www.linkedin.com/learning/microsoft-power-apps-ai-builder" TargetMode="External"/><Relationship Id="rId1327" Type="http://schemas.openxmlformats.org/officeDocument/2006/relationships/hyperlink" Target="https://www.linkedin.com/learning/project-management-foundations-communication-3" TargetMode="External"/><Relationship Id="rId1534" Type="http://schemas.openxmlformats.org/officeDocument/2006/relationships/hyperlink" Target="https://www.linkedin.com/learning/building-a-coaching-culture-improving-performance-through-timely-feedback" TargetMode="External"/><Relationship Id="rId1741" Type="http://schemas.openxmlformats.org/officeDocument/2006/relationships/hyperlink" Target="https://www.linkedin.com/learning/bring-your-human-to-work-getabstract-summary" TargetMode="External"/><Relationship Id="rId33" Type="http://schemas.openxmlformats.org/officeDocument/2006/relationships/hyperlink" Target="https://www.linkedin.com/learning/productivity-tips-setting-up-your-workplace" TargetMode="External"/><Relationship Id="rId129" Type="http://schemas.openxmlformats.org/officeDocument/2006/relationships/hyperlink" Target="https://www.linkedin.com/learning/leaders-make-your-teams-more-agile-creative-and-united" TargetMode="External"/><Relationship Id="rId336" Type="http://schemas.openxmlformats.org/officeDocument/2006/relationships/hyperlink" Target="https://www.linkedin.com/learning/difficult-situations-solutions-for-managers" TargetMode="External"/><Relationship Id="rId543" Type="http://schemas.openxmlformats.org/officeDocument/2006/relationships/hyperlink" Target="https://www.linkedin.com/learning/sheryl-sandberg-and-adam-grant-on-option-b-building-resilience" TargetMode="External"/><Relationship Id="rId988" Type="http://schemas.openxmlformats.org/officeDocument/2006/relationships/hyperlink" Target="https://www.linkedin.com/learning/developing-a-learning-mindset" TargetMode="External"/><Relationship Id="rId1173" Type="http://schemas.openxmlformats.org/officeDocument/2006/relationships/hyperlink" Target="https://www.linkedin.com/learning/sales-management-simplified-blinkist-summary" TargetMode="External"/><Relationship Id="rId1380" Type="http://schemas.openxmlformats.org/officeDocument/2006/relationships/hyperlink" Target="https://www.linkedin.com/learning/paths/develop-your-sales-knowledge-and-skills" TargetMode="External"/><Relationship Id="rId1601" Type="http://schemas.openxmlformats.org/officeDocument/2006/relationships/hyperlink" Target="https://www.linkedin.com/learning/women-transforming-tech-getting-strategic-with-your-career/take-charge-of-your-career" TargetMode="External"/><Relationship Id="rId182" Type="http://schemas.openxmlformats.org/officeDocument/2006/relationships/hyperlink" Target="https://www.linkedin.com/learning/succeeding-as-a-leader-in-tech" TargetMode="External"/><Relationship Id="rId403" Type="http://schemas.openxmlformats.org/officeDocument/2006/relationships/hyperlink" Target="https://www.linkedin.com/learning/social-media-marketing-foundations-2020" TargetMode="External"/><Relationship Id="rId750" Type="http://schemas.openxmlformats.org/officeDocument/2006/relationships/hyperlink" Target="https://www.linkedin.com/learning/success-metrics-in-your-l-d-program" TargetMode="External"/><Relationship Id="rId848" Type="http://schemas.openxmlformats.org/officeDocument/2006/relationships/hyperlink" Target="https://www.linkedin.com/learning/human-resources-creating-an-employee-handbook" TargetMode="External"/><Relationship Id="rId1033" Type="http://schemas.openxmlformats.org/officeDocument/2006/relationships/hyperlink" Target="https://www.linkedin.com/learning/leading-with-kindness-and-strength" TargetMode="External"/><Relationship Id="rId1478" Type="http://schemas.openxmlformats.org/officeDocument/2006/relationships/hyperlink" Target="https://www.linkedin.com/learning/paths/develop-motivate-and-retain-employees" TargetMode="External"/><Relationship Id="rId1685" Type="http://schemas.openxmlformats.org/officeDocument/2006/relationships/hyperlink" Target="https://www.linkedin.com/learning/ninja-writing-the-four-levels-of-writing-mastery" TargetMode="External"/><Relationship Id="rId487" Type="http://schemas.openxmlformats.org/officeDocument/2006/relationships/hyperlink" Target="https://www.linkedin.com/learning/icebreakers-for-teams-meetings-and-groups" TargetMode="External"/><Relationship Id="rId610" Type="http://schemas.openxmlformats.org/officeDocument/2006/relationships/hyperlink" Target="https://www.linkedin.com/learning/managing-customer-expectations-for-managers" TargetMode="External"/><Relationship Id="rId694" Type="http://schemas.openxmlformats.org/officeDocument/2006/relationships/hyperlink" Target="https://www.linkedin.com/learning/nosql-data-modeling-essential-training" TargetMode="External"/><Relationship Id="rId708" Type="http://schemas.openxmlformats.org/officeDocument/2006/relationships/hyperlink" Target="https://www.linkedin.com/learning/abap-for-sap-users" TargetMode="External"/><Relationship Id="rId915" Type="http://schemas.openxmlformats.org/officeDocument/2006/relationships/hyperlink" Target="https://www.linkedin.com/learning/artificial-intelligence-foundations-neural-networks" TargetMode="External"/><Relationship Id="rId1240" Type="http://schemas.openxmlformats.org/officeDocument/2006/relationships/hyperlink" Target="https://www.linkedin.com/learning/how-to-make-strategic-thinking-a-habit" TargetMode="External"/><Relationship Id="rId1338" Type="http://schemas.openxmlformats.org/officeDocument/2006/relationships/hyperlink" Target="https://www.linkedin.com/learning/paths/become-a-six-sigma-yellow-belt" TargetMode="External"/><Relationship Id="rId1545" Type="http://schemas.openxmlformats.org/officeDocument/2006/relationships/hyperlink" Target="https://www.linkedin.com/learning/foundations-of-performance-management-with-nigel-cumberland" TargetMode="External"/><Relationship Id="rId347" Type="http://schemas.openxmlformats.org/officeDocument/2006/relationships/hyperlink" Target="https://www.linkedin.com/learning/human-resources-managing-employee-problems" TargetMode="External"/><Relationship Id="rId999" Type="http://schemas.openxmlformats.org/officeDocument/2006/relationships/hyperlink" Target="https://www.linkedin.com/learning/becoming-an-ai-first-product-leader" TargetMode="External"/><Relationship Id="rId1100" Type="http://schemas.openxmlformats.org/officeDocument/2006/relationships/hyperlink" Target="https://www.linkedin.com/learning/coaching-skills-for-leaders-and-managers" TargetMode="External"/><Relationship Id="rId1184" Type="http://schemas.openxmlformats.org/officeDocument/2006/relationships/hyperlink" Target="https://www.linkedin.com/learning/leading-and-working-in-teams" TargetMode="External"/><Relationship Id="rId1405" Type="http://schemas.openxmlformats.org/officeDocument/2006/relationships/hyperlink" Target="https://www.linkedin.com/learning/running-a-design-business-writing-and-pricing-winning-proposals" TargetMode="External"/><Relationship Id="rId1752" Type="http://schemas.openxmlformats.org/officeDocument/2006/relationships/hyperlink" Target="https://www.linkedin.com/learning/how-to-manage-feeling-overwhelmed" TargetMode="External"/><Relationship Id="rId44" Type="http://schemas.openxmlformats.org/officeDocument/2006/relationships/hyperlink" Target="https://www.linkedin.com/learning/building-better-routines" TargetMode="External"/><Relationship Id="rId554" Type="http://schemas.openxmlformats.org/officeDocument/2006/relationships/hyperlink" Target="https://www.linkedin.com/learning/powerless-to-powerful-taking-control" TargetMode="External"/><Relationship Id="rId761" Type="http://schemas.openxmlformats.org/officeDocument/2006/relationships/hyperlink" Target="https://www.linkedin.com/learning/paths/develop-your-finance-and-accounting-skills" TargetMode="External"/><Relationship Id="rId859" Type="http://schemas.openxmlformats.org/officeDocument/2006/relationships/hyperlink" Target="https://www.linkedin.com/learning/introduction-to-the-phr-certification-exam" TargetMode="External"/><Relationship Id="rId1391" Type="http://schemas.openxmlformats.org/officeDocument/2006/relationships/hyperlink" Target="https://www.linkedin.com/learning/business-analytics-sales-data" TargetMode="External"/><Relationship Id="rId1489" Type="http://schemas.openxmlformats.org/officeDocument/2006/relationships/hyperlink" Target="https://www.linkedin.com/learning/managing-high-performers" TargetMode="External"/><Relationship Id="rId1612" Type="http://schemas.openxmlformats.org/officeDocument/2006/relationships/hyperlink" Target="https://www.linkedin.com/learning/new-manager-foundations-2" TargetMode="External"/><Relationship Id="rId1696" Type="http://schemas.openxmlformats.org/officeDocument/2006/relationships/hyperlink" Target="https://www.linkedin.com/learning/finding-and-doing-the-one-thing" TargetMode="External"/><Relationship Id="rId193" Type="http://schemas.openxmlformats.org/officeDocument/2006/relationships/hyperlink" Target="https://www.linkedin.com/learning/become-a-super-collaborator" TargetMode="External"/><Relationship Id="rId207" Type="http://schemas.openxmlformats.org/officeDocument/2006/relationships/hyperlink" Target="https://www.linkedin.com/learning/social-success-at-work" TargetMode="External"/><Relationship Id="rId414" Type="http://schemas.openxmlformats.org/officeDocument/2006/relationships/hyperlink" Target="https://www.linkedin.com/learning/marketing-foundations-consumer-behavior-revision-2020" TargetMode="External"/><Relationship Id="rId498" Type="http://schemas.openxmlformats.org/officeDocument/2006/relationships/hyperlink" Target="https://www.linkedin.com/learning/ideas-that-resonate" TargetMode="External"/><Relationship Id="rId621" Type="http://schemas.openxmlformats.org/officeDocument/2006/relationships/hyperlink" Target="https://www.linkedin.com/learning/business-analytics-forecasting-with-exponential-smoothing" TargetMode="External"/><Relationship Id="rId1044" Type="http://schemas.openxmlformats.org/officeDocument/2006/relationships/hyperlink" Target="https://www.linkedin.com/learning/vision-in-action-leaders-live-case-studies" TargetMode="External"/><Relationship Id="rId1251" Type="http://schemas.openxmlformats.org/officeDocument/2006/relationships/hyperlink" Target="https://www.linkedin.com/learning/lean-six-sigma-analyze-improve-and-control-tools" TargetMode="External"/><Relationship Id="rId1349" Type="http://schemas.openxmlformats.org/officeDocument/2006/relationships/hyperlink" Target="https://www.linkedin.com/learning/leading-remote-projects-and-virtual-teams" TargetMode="External"/><Relationship Id="rId260" Type="http://schemas.openxmlformats.org/officeDocument/2006/relationships/hyperlink" Target="https://www.linkedin.com/learning/negotiation-foundations/welcome?u=104" TargetMode="External"/><Relationship Id="rId719" Type="http://schemas.openxmlformats.org/officeDocument/2006/relationships/hyperlink" Target="https://www.linkedin.com/learning/data-driven-learning-design" TargetMode="External"/><Relationship Id="rId926" Type="http://schemas.openxmlformats.org/officeDocument/2006/relationships/hyperlink" Target="https://www.linkedin.com/learning/succeeding-in-web-development-full-stack-and-front-end" TargetMode="External"/><Relationship Id="rId1111" Type="http://schemas.openxmlformats.org/officeDocument/2006/relationships/hyperlink" Target="https://www.linkedin.com/learning/leading-through-relationships" TargetMode="External"/><Relationship Id="rId1556" Type="http://schemas.openxmlformats.org/officeDocument/2006/relationships/hyperlink" Target="https://www.linkedin.com/learning/empathy-tips-for-hr-professionals" TargetMode="External"/><Relationship Id="rId1763" Type="http://schemas.openxmlformats.org/officeDocument/2006/relationships/hyperlink" Target="https://www.linkedin.com/learning/when-the-scientific-secrets-of-perfect-timing-blinkist" TargetMode="External"/><Relationship Id="rId55" Type="http://schemas.openxmlformats.org/officeDocument/2006/relationships/hyperlink" Target="https://www.linkedin.com/learning/mixtape-learning-highlights-on-personal-effectiveness" TargetMode="External"/><Relationship Id="rId120" Type="http://schemas.openxmlformats.org/officeDocument/2006/relationships/hyperlink" Target="https://www.linkedin.com/learning/organizational-learning-and-development" TargetMode="External"/><Relationship Id="rId358" Type="http://schemas.openxmlformats.org/officeDocument/2006/relationships/hyperlink" Target="https://www.linkedin.com/learning/paths/become-a-digital-marketing-specialist" TargetMode="External"/><Relationship Id="rId565" Type="http://schemas.openxmlformats.org/officeDocument/2006/relationships/hyperlink" Target="https://www.linkedin.com/learning/journey-mapping-case-study-in-action" TargetMode="External"/><Relationship Id="rId772" Type="http://schemas.openxmlformats.org/officeDocument/2006/relationships/hyperlink" Target="https://www.linkedin.com/learning/the-data-science-of-economics-banking-and-finance-with-barton-poulson" TargetMode="External"/><Relationship Id="rId1195" Type="http://schemas.openxmlformats.org/officeDocument/2006/relationships/hyperlink" Target="https://www.linkedin.com/learning/the-definitive-drucker-getabstract-summary" TargetMode="External"/><Relationship Id="rId1209" Type="http://schemas.openxmlformats.org/officeDocument/2006/relationships/hyperlink" Target="https://www.linkedin.com/learning/paths/build-a-privacy-program" TargetMode="External"/><Relationship Id="rId1416" Type="http://schemas.openxmlformats.org/officeDocument/2006/relationships/hyperlink" Target="https://www.linkedin.com/learning/creating-a-culture-of-change" TargetMode="External"/><Relationship Id="rId1623" Type="http://schemas.openxmlformats.org/officeDocument/2006/relationships/hyperlink" Target="https://www.linkedin.com/learning/skills-for-inclusive-conversations" TargetMode="External"/><Relationship Id="rId218" Type="http://schemas.openxmlformats.org/officeDocument/2006/relationships/hyperlink" Target="https://www.linkedin.com/learning/giving-and-receiving-feedback" TargetMode="External"/><Relationship Id="rId425" Type="http://schemas.openxmlformats.org/officeDocument/2006/relationships/hyperlink" Target="https://www.linkedin.com/learning/direct-mail-marketing" TargetMode="External"/><Relationship Id="rId632" Type="http://schemas.openxmlformats.org/officeDocument/2006/relationships/hyperlink" Target="https://www.linkedin.com/learning/linkedin-learning-highlights-data-science-and-analytics" TargetMode="External"/><Relationship Id="rId1055" Type="http://schemas.openxmlformats.org/officeDocument/2006/relationships/hyperlink" Target="https://www.linkedin.com/learning/ken-blanchard-on-servant-leadership" TargetMode="External"/><Relationship Id="rId1262" Type="http://schemas.openxmlformats.org/officeDocument/2006/relationships/hyperlink" Target="https://www.linkedin.com/learning/skip-level-meetings-2019" TargetMode="External"/><Relationship Id="rId271" Type="http://schemas.openxmlformats.org/officeDocument/2006/relationships/hyperlink" Target="https://www.linkedin.com/learning/top-of-mind-use-content-to-unleash-your-influence-getabstract-summary" TargetMode="External"/><Relationship Id="rId937" Type="http://schemas.openxmlformats.org/officeDocument/2006/relationships/hyperlink" Target="https://www.linkedin.com/learning/learning-xai-explainable-artificial-intelligence" TargetMode="External"/><Relationship Id="rId1122" Type="http://schemas.openxmlformats.org/officeDocument/2006/relationships/hyperlink" Target="https://www.linkedin.com/learning/leading-with-values" TargetMode="External"/><Relationship Id="rId1567" Type="http://schemas.openxmlformats.org/officeDocument/2006/relationships/hyperlink" Target="https://www.linkedin.com/learning/coaching-employees-through-difficult-situations" TargetMode="External"/><Relationship Id="rId66" Type="http://schemas.openxmlformats.org/officeDocument/2006/relationships/hyperlink" Target="https://www.linkedin.com/learning/using-microsoft-teams-and-outlook-together-maximizing-productivity" TargetMode="External"/><Relationship Id="rId131" Type="http://schemas.openxmlformats.org/officeDocument/2006/relationships/hyperlink" Target="https://www.linkedin.com/learning/creating-a-high-performance-culture/components-of-high-performing-cultures" TargetMode="External"/><Relationship Id="rId369" Type="http://schemas.openxmlformats.org/officeDocument/2006/relationships/hyperlink" Target="https://www.linkedin.com/learning/paths/develop-your-marketing-skills" TargetMode="External"/><Relationship Id="rId576" Type="http://schemas.openxmlformats.org/officeDocument/2006/relationships/hyperlink" Target="https://www.linkedin.com/learning/selling-strategies-that-boost-customer-acquisition" TargetMode="External"/><Relationship Id="rId783" Type="http://schemas.openxmlformats.org/officeDocument/2006/relationships/hyperlink" Target="https://www.linkedin.com/learning/business-financials-explained" TargetMode="External"/><Relationship Id="rId990" Type="http://schemas.openxmlformats.org/officeDocument/2006/relationships/hyperlink" Target="https://www.linkedin.com/learning/gary-hamel-on-busting-bureaucracy/welcome" TargetMode="External"/><Relationship Id="rId1427" Type="http://schemas.openxmlformats.org/officeDocument/2006/relationships/hyperlink" Target="https://www.linkedin.com/learning/driving-measurable-sustainable-change" TargetMode="External"/><Relationship Id="rId1634" Type="http://schemas.openxmlformats.org/officeDocument/2006/relationships/hyperlink" Target="https://www.linkedin.com/learning/unconscious-bias" TargetMode="External"/><Relationship Id="rId229" Type="http://schemas.openxmlformats.org/officeDocument/2006/relationships/hyperlink" Target="https://www.linkedin.com/learning/the-ultimate-guide-to-networking" TargetMode="External"/><Relationship Id="rId436" Type="http://schemas.openxmlformats.org/officeDocument/2006/relationships/hyperlink" Target="https://www.linkedin.com/learning/introduction-to-content-marketing" TargetMode="External"/><Relationship Id="rId643" Type="http://schemas.openxmlformats.org/officeDocument/2006/relationships/hyperlink" Target="https://www.linkedin.com/learning/data-fluency-exploring-and-describing-data" TargetMode="External"/><Relationship Id="rId1066" Type="http://schemas.openxmlformats.org/officeDocument/2006/relationships/hyperlink" Target="https://www.linkedin.com/learning/implementing-continuous-improvement-a-case-study" TargetMode="External"/><Relationship Id="rId1273" Type="http://schemas.openxmlformats.org/officeDocument/2006/relationships/hyperlink" Target="https://www.linkedin.com/learning/paths/master-microsoft-powerpoint" TargetMode="External"/><Relationship Id="rId1480" Type="http://schemas.openxmlformats.org/officeDocument/2006/relationships/hyperlink" Target="https://www.linkedin.com/learning/paths/become-an-ld-professional" TargetMode="External"/><Relationship Id="rId850" Type="http://schemas.openxmlformats.org/officeDocument/2006/relationships/hyperlink" Target="https://www.linkedin.com/learning/managing-temporary-and-contract-employees" TargetMode="External"/><Relationship Id="rId948" Type="http://schemas.openxmlformats.org/officeDocument/2006/relationships/hyperlink" Target="https://www.linkedin.com/learning/powerpoint-8-easy-ways-to-make-your-presentations-look-better,https:/www.linkedin.com/learning/powerpoint-eight-easy-ways-to-make-your-presentation-stand-out" TargetMode="External"/><Relationship Id="rId1133" Type="http://schemas.openxmlformats.org/officeDocument/2006/relationships/hyperlink" Target="https://www.linkedin.com/learning/foundations-of-performance-management-with-nigel-cumberland" TargetMode="External"/><Relationship Id="rId1578" Type="http://schemas.openxmlformats.org/officeDocument/2006/relationships/hyperlink" Target="https://www.linkedin.com/learning/paths/become-an-inclusive-leader" TargetMode="External"/><Relationship Id="rId1701" Type="http://schemas.openxmlformats.org/officeDocument/2006/relationships/hyperlink" Target="https://www.linkedin.com/learning/using-your-mind-to-change-your-brain" TargetMode="External"/><Relationship Id="rId77" Type="http://schemas.openxmlformats.org/officeDocument/2006/relationships/hyperlink" Target="https://www.linkedin.com/learning/asking-for-feedback-as-an-employee" TargetMode="External"/><Relationship Id="rId282" Type="http://schemas.openxmlformats.org/officeDocument/2006/relationships/hyperlink" Target="https://www.linkedin.com/learning/inspirational-leadership-skills-practical-motivational-leadership" TargetMode="External"/><Relationship Id="rId503" Type="http://schemas.openxmlformats.org/officeDocument/2006/relationships/hyperlink" Target="https://www.linkedin.com/learning/leading-like-a-futurist" TargetMode="External"/><Relationship Id="rId587" Type="http://schemas.openxmlformats.org/officeDocument/2006/relationships/hyperlink" Target="https://www.linkedin.com/learning/business-fundamentals-for-customer-success-managers" TargetMode="External"/><Relationship Id="rId710" Type="http://schemas.openxmlformats.org/officeDocument/2006/relationships/hyperlink" Target="https://www.linkedin.com/learning/ai-in-business-essential-training" TargetMode="External"/><Relationship Id="rId808" Type="http://schemas.openxmlformats.org/officeDocument/2006/relationships/hyperlink" Target="https://www.linkedin.com/learning/accounting-foundations-leases" TargetMode="External"/><Relationship Id="rId1340" Type="http://schemas.openxmlformats.org/officeDocument/2006/relationships/hyperlink" Target="https://www.linkedin.com/learning/hoshin-planning" TargetMode="External"/><Relationship Id="rId1438" Type="http://schemas.openxmlformats.org/officeDocument/2006/relationships/hyperlink" Target="https://www.linkedin.com/learning/creating-a-unique-competitive-advantage" TargetMode="External"/><Relationship Id="rId1645" Type="http://schemas.openxmlformats.org/officeDocument/2006/relationships/hyperlink" Target="https://www.linkedin.com/learning/managing-a-diverse-team" TargetMode="External"/><Relationship Id="rId8" Type="http://schemas.openxmlformats.org/officeDocument/2006/relationships/hyperlink" Target="https://www.linkedin.com/learning/developing-resourcefulness" TargetMode="External"/><Relationship Id="rId142" Type="http://schemas.openxmlformats.org/officeDocument/2006/relationships/hyperlink" Target="https://www.linkedin.com/learning/shane-snow-on-dream-teams" TargetMode="External"/><Relationship Id="rId447" Type="http://schemas.openxmlformats.org/officeDocument/2006/relationships/hyperlink" Target="https://www.linkedin.com/learning/social-media-marketing-social-crm" TargetMode="External"/><Relationship Id="rId794" Type="http://schemas.openxmlformats.org/officeDocument/2006/relationships/hyperlink" Target="https://www.linkedin.com/learning/corporate-finance-strategies-for-business-leaders" TargetMode="External"/><Relationship Id="rId1077" Type="http://schemas.openxmlformats.org/officeDocument/2006/relationships/hyperlink" Target="https://www.linkedin.com/learning/leading-organizations-ten-timeless-truths-getabstract-summary" TargetMode="External"/><Relationship Id="rId1200" Type="http://schemas.openxmlformats.org/officeDocument/2006/relationships/hyperlink" Target="https://www.linkedin.com/learning/leading-change-in-large-distributed-organizations" TargetMode="External"/><Relationship Id="rId654" Type="http://schemas.openxmlformats.org/officeDocument/2006/relationships/hyperlink" Target="https://www.linkedin.com/learning/learning-relational-databases-2" TargetMode="External"/><Relationship Id="rId861" Type="http://schemas.openxmlformats.org/officeDocument/2006/relationships/hyperlink" Target="https://www.linkedin.com/learning/administrative-human-resources" TargetMode="External"/><Relationship Id="rId959" Type="http://schemas.openxmlformats.org/officeDocument/2006/relationships/hyperlink" Target="https://www.linkedin.com/learning/windows-presentation-foundation-1-build-dramatic-desktop-applications" TargetMode="External"/><Relationship Id="rId1284" Type="http://schemas.openxmlformats.org/officeDocument/2006/relationships/hyperlink" Target="https://www.linkedin.com/learning/how-to-present-and-stay-on-point-2019" TargetMode="External"/><Relationship Id="rId1491" Type="http://schemas.openxmlformats.org/officeDocument/2006/relationships/hyperlink" Target="https://www.linkedin.com/learning/boosting-your-team-s-productivity/next-steps" TargetMode="External"/><Relationship Id="rId1505" Type="http://schemas.openxmlformats.org/officeDocument/2006/relationships/hyperlink" Target="https://www.linkedin.com/learning/recognizing-and-rewarding-your-workers" TargetMode="External"/><Relationship Id="rId1589" Type="http://schemas.openxmlformats.org/officeDocument/2006/relationships/hyperlink" Target="https://www.linkedin.com/learning/developing-cross-cultural-intelligence" TargetMode="External"/><Relationship Id="rId1712" Type="http://schemas.openxmlformats.org/officeDocument/2006/relationships/hyperlink" Target="https://www.linkedin.com/learning/mindfulness-for-beginners" TargetMode="External"/><Relationship Id="rId293" Type="http://schemas.openxmlformats.org/officeDocument/2006/relationships/hyperlink" Target="https://www.linkedin.com/learning/how-to-create-and-run-a-brilliant-remote-workshop-uk" TargetMode="External"/><Relationship Id="rId307" Type="http://schemas.openxmlformats.org/officeDocument/2006/relationships/hyperlink" Target="https://www.linkedin.com/learning/listen-to-lead" TargetMode="External"/><Relationship Id="rId514" Type="http://schemas.openxmlformats.org/officeDocument/2006/relationships/hyperlink" Target="https://www.linkedin.com/learning/leaders-make-your-teams-more-agile-creative-and-united" TargetMode="External"/><Relationship Id="rId721" Type="http://schemas.openxmlformats.org/officeDocument/2006/relationships/hyperlink" Target="https://www.linkedin.com/learning/camtasia-2019-for-mac-essential-training" TargetMode="External"/><Relationship Id="rId1144" Type="http://schemas.openxmlformats.org/officeDocument/2006/relationships/hyperlink" Target="https://www.linkedin.com/learning/performance-management-setting-goals-and-managing-performance" TargetMode="External"/><Relationship Id="rId1351" Type="http://schemas.openxmlformats.org/officeDocument/2006/relationships/hyperlink" Target="https://www.linkedin.com/learning/product-management-weekly-serial-planning-q1-2018" TargetMode="External"/><Relationship Id="rId1449" Type="http://schemas.openxmlformats.org/officeDocument/2006/relationships/hyperlink" Target="https://www.linkedin.com/learning/how-to-make-strategic-thinking-a-habit" TargetMode="External"/><Relationship Id="rId88" Type="http://schemas.openxmlformats.org/officeDocument/2006/relationships/hyperlink" Target="https://www.linkedin.com/learning/critical-thinking" TargetMode="External"/><Relationship Id="rId153" Type="http://schemas.openxmlformats.org/officeDocument/2006/relationships/hyperlink" Target="https://www.linkedin.com/learning/hiring-an-employee-for-managers-2019" TargetMode="External"/><Relationship Id="rId360" Type="http://schemas.openxmlformats.org/officeDocument/2006/relationships/hyperlink" Target="https://www.linkedin.com/learning/paths/become-a-marketing-coordinator" TargetMode="External"/><Relationship Id="rId598" Type="http://schemas.openxmlformats.org/officeDocument/2006/relationships/hyperlink" Target="https://www.linkedin.com/learning/data-driven-harnessing-data-and-ai-to-reinvent-customer-engagement-getabstract-summary" TargetMode="External"/><Relationship Id="rId819" Type="http://schemas.openxmlformats.org/officeDocument/2006/relationships/hyperlink" Target="https://www.linkedin.com/learning/paths/develop-your-hr-management-and-leadership-skills" TargetMode="External"/><Relationship Id="rId1004" Type="http://schemas.openxmlformats.org/officeDocument/2006/relationships/hyperlink" Target="https://www.linkedin.com/learning/being-your-own-fierce-self-advocate" TargetMode="External"/><Relationship Id="rId1211" Type="http://schemas.openxmlformats.org/officeDocument/2006/relationships/hyperlink" Target="https://www.linkedin.com/learning/devops-foundations" TargetMode="External"/><Relationship Id="rId1656" Type="http://schemas.openxmlformats.org/officeDocument/2006/relationships/hyperlink" Target="https://www.linkedin.com/learning/writing-your-company-overview" TargetMode="External"/><Relationship Id="rId220" Type="http://schemas.openxmlformats.org/officeDocument/2006/relationships/hyperlink" Target="https://www.linkedin.com/learning/what-are-your-blind-spots-getabstract-summary" TargetMode="External"/><Relationship Id="rId458" Type="http://schemas.openxmlformats.org/officeDocument/2006/relationships/hyperlink" Target="https://www.linkedin.com/learning/advertising-on-youtube,https:/www.linkedin.com/learning/advertising-on-youtube-2020" TargetMode="External"/><Relationship Id="rId665" Type="http://schemas.openxmlformats.org/officeDocument/2006/relationships/hyperlink" Target="https://www.linkedin.com/learning/the-data-game-of-fantasy-football" TargetMode="External"/><Relationship Id="rId872" Type="http://schemas.openxmlformats.org/officeDocument/2006/relationships/hyperlink" Target="https://www.linkedin.com/learning/hiring-managing-and-separating-from-employees" TargetMode="External"/><Relationship Id="rId1088" Type="http://schemas.openxmlformats.org/officeDocument/2006/relationships/hyperlink" Target="https://www.linkedin.com/learning/advice-for-leaders-during-a-crisis" TargetMode="External"/><Relationship Id="rId1295" Type="http://schemas.openxmlformats.org/officeDocument/2006/relationships/hyperlink" Target="https://www.linkedin.com/learning/powerpoint-essential-training-office-365" TargetMode="External"/><Relationship Id="rId1309" Type="http://schemas.openxmlformats.org/officeDocument/2006/relationships/hyperlink" Target="https://www.linkedin.com/learning/powerpoint-8-easy-ways-to-make-your-presentations-look-better,https:/www.linkedin.com/learning/powerpoint-eight-easy-ways-to-make-your-presentation-stand-out" TargetMode="External"/><Relationship Id="rId1516" Type="http://schemas.openxmlformats.org/officeDocument/2006/relationships/hyperlink" Target="https://www.linkedin.com/learning/the-purpose-effect-getabstract-summary" TargetMode="External"/><Relationship Id="rId1723" Type="http://schemas.openxmlformats.org/officeDocument/2006/relationships/hyperlink" Target="https://www.linkedin.com/learning/managing-stress-2019" TargetMode="External"/><Relationship Id="rId15" Type="http://schemas.openxmlformats.org/officeDocument/2006/relationships/hyperlink" Target="https://www.linkedin.com/learning/getting-things-done/capturing-things" TargetMode="External"/><Relationship Id="rId318" Type="http://schemas.openxmlformats.org/officeDocument/2006/relationships/hyperlink" Target="https://www.linkedin.com/learning/the-surprising-science-of-meetings-getabstract-summary" TargetMode="External"/><Relationship Id="rId525" Type="http://schemas.openxmlformats.org/officeDocument/2006/relationships/hyperlink" Target="https://www.linkedin.com/learning/paths/improve-your-organizational-skills" TargetMode="External"/><Relationship Id="rId732" Type="http://schemas.openxmlformats.org/officeDocument/2006/relationships/hyperlink" Target="https://www.linkedin.com/learning/empathy-in-business-design-for-success,https:/www.linkedin.com/learning/empathy-in-design" TargetMode="External"/><Relationship Id="rId1155" Type="http://schemas.openxmlformats.org/officeDocument/2006/relationships/hyperlink" Target="https://www.linkedin.com/learning/hr-guidelines-everyone-should-know" TargetMode="External"/><Relationship Id="rId1362" Type="http://schemas.openxmlformats.org/officeDocument/2006/relationships/hyperlink" Target="https://www.linkedin.com/learning/emotional-intelligence-for-project-managers-blinkist-summary" TargetMode="External"/><Relationship Id="rId99" Type="http://schemas.openxmlformats.org/officeDocument/2006/relationships/hyperlink" Target="https://www.linkedin.com/learning/aaron-dignan-on-transformational-change" TargetMode="External"/><Relationship Id="rId164" Type="http://schemas.openxmlformats.org/officeDocument/2006/relationships/hyperlink" Target="https://www.linkedin.com/learning/creating-a-communications-strategy" TargetMode="External"/><Relationship Id="rId371" Type="http://schemas.openxmlformats.org/officeDocument/2006/relationships/hyperlink" Target="https://www.linkedin.com/learning/lifecycle-marketing-foundations" TargetMode="External"/><Relationship Id="rId1015" Type="http://schemas.openxmlformats.org/officeDocument/2006/relationships/hyperlink" Target="https://www.linkedin.com/learning/aaron-dignan-on-transformational-change" TargetMode="External"/><Relationship Id="rId1222" Type="http://schemas.openxmlformats.org/officeDocument/2006/relationships/hyperlink" Target="https://www.linkedin.com/learning/introducing-ai-to-your-organization" TargetMode="External"/><Relationship Id="rId1667" Type="http://schemas.openxmlformats.org/officeDocument/2006/relationships/hyperlink" Target="https://www.linkedin.com/learning/business-writing-principles" TargetMode="External"/><Relationship Id="rId469" Type="http://schemas.openxmlformats.org/officeDocument/2006/relationships/hyperlink" Target="https://www.linkedin.com/learning/advertising-on-instagram-2020" TargetMode="External"/><Relationship Id="rId676" Type="http://schemas.openxmlformats.org/officeDocument/2006/relationships/hyperlink" Target="https://www.linkedin.com/learning/how-to-perform-business-analysis-in-a-virtual-environment" TargetMode="External"/><Relationship Id="rId883" Type="http://schemas.openxmlformats.org/officeDocument/2006/relationships/hyperlink" Target="https://www.linkedin.com/learning/strategic-human-resources" TargetMode="External"/><Relationship Id="rId1099" Type="http://schemas.openxmlformats.org/officeDocument/2006/relationships/hyperlink" Target="https://www.linkedin.com/learning/building-resilience-as-a-leader" TargetMode="External"/><Relationship Id="rId1527" Type="http://schemas.openxmlformats.org/officeDocument/2006/relationships/hyperlink" Target="https://www.linkedin.com/learning/creating-the-conditions-for-others-to-thrive/welcome-2?u=104" TargetMode="External"/><Relationship Id="rId1734" Type="http://schemas.openxmlformats.org/officeDocument/2006/relationships/hyperlink" Target="https://www.linkedin.com/learning/esther-dyson-on-cultivating-health-at-scale" TargetMode="External"/><Relationship Id="rId26" Type="http://schemas.openxmlformats.org/officeDocument/2006/relationships/hyperlink" Target="https://www.linkedin.com/learning/tony-schwartz-on-managing-your-energy-for-sustainable-high-performance/about-energy-management" TargetMode="External"/><Relationship Id="rId231" Type="http://schemas.openxmlformats.org/officeDocument/2006/relationships/hyperlink" Target="https://www.linkedin.com/learning/building-relationships-while-working-from-home" TargetMode="External"/><Relationship Id="rId329" Type="http://schemas.openxmlformats.org/officeDocument/2006/relationships/hyperlink" Target="https://www.linkedin.com/learning/conflict-resolution-foundations-4" TargetMode="External"/><Relationship Id="rId536" Type="http://schemas.openxmlformats.org/officeDocument/2006/relationships/hyperlink" Target="https://www.linkedin.com/learning/ideas-that-resonate" TargetMode="External"/><Relationship Id="rId1166" Type="http://schemas.openxmlformats.org/officeDocument/2006/relationships/hyperlink" Target="https://www.linkedin.com/learning/managing-temporary-and-contract-employees" TargetMode="External"/><Relationship Id="rId1373" Type="http://schemas.openxmlformats.org/officeDocument/2006/relationships/hyperlink" Target="https://www.linkedin.com/learning/project-management-foundations-procurement-2" TargetMode="External"/><Relationship Id="rId175" Type="http://schemas.openxmlformats.org/officeDocument/2006/relationships/hyperlink" Target="https://www.linkedin.com/learning/managing-a-diverse-team" TargetMode="External"/><Relationship Id="rId743" Type="http://schemas.openxmlformats.org/officeDocument/2006/relationships/hyperlink" Target="https://www.linkedin.com/learning/design-thinking-understanding-the-process-revision-2021" TargetMode="External"/><Relationship Id="rId950" Type="http://schemas.openxmlformats.org/officeDocument/2006/relationships/hyperlink" Target="https://www.linkedin.com/learning/using-microsoft-teams-and-outlook-together-maximizing-productivity" TargetMode="External"/><Relationship Id="rId1026" Type="http://schemas.openxmlformats.org/officeDocument/2006/relationships/hyperlink" Target="https://www.linkedin.com/learning/communicating-in-times-of-change" TargetMode="External"/><Relationship Id="rId1580" Type="http://schemas.openxmlformats.org/officeDocument/2006/relationships/hyperlink" Target="https://www.linkedin.com/learning/leading-globally" TargetMode="External"/><Relationship Id="rId1678" Type="http://schemas.openxmlformats.org/officeDocument/2006/relationships/hyperlink" Target="https://www.linkedin.com/learning/writing-under-a-deadline" TargetMode="External"/><Relationship Id="rId382" Type="http://schemas.openxmlformats.org/officeDocument/2006/relationships/hyperlink" Target="https://www.linkedin.com/learning/building-a-creative-online-community" TargetMode="External"/><Relationship Id="rId603" Type="http://schemas.openxmlformats.org/officeDocument/2006/relationships/hyperlink" Target="https://www.linkedin.com/learning/customer-advocacy" TargetMode="External"/><Relationship Id="rId687" Type="http://schemas.openxmlformats.org/officeDocument/2006/relationships/hyperlink" Target="https://www.linkedin.com/learning/ux-deep-dive-analyzing-data" TargetMode="External"/><Relationship Id="rId810" Type="http://schemas.openxmlformats.org/officeDocument/2006/relationships/hyperlink" Target="https://www.linkedin.com/learning/accounting-foundations-internal-controls" TargetMode="External"/><Relationship Id="rId908" Type="http://schemas.openxmlformats.org/officeDocument/2006/relationships/hyperlink" Target="https://www.linkedin.com/learning/test-automation-foundations" TargetMode="External"/><Relationship Id="rId1233" Type="http://schemas.openxmlformats.org/officeDocument/2006/relationships/hyperlink" Target="https://www.linkedin.com/learning/data-ethics-managing-your-private-customer-data" TargetMode="External"/><Relationship Id="rId1440" Type="http://schemas.openxmlformats.org/officeDocument/2006/relationships/hyperlink" Target="https://www.linkedin.com/learning/introduction-to-business-analytics" TargetMode="External"/><Relationship Id="rId1538" Type="http://schemas.openxmlformats.org/officeDocument/2006/relationships/hyperlink" Target="https://www.linkedin.com/learning/the-coaching-habit-getabstract-summary" TargetMode="External"/><Relationship Id="rId242" Type="http://schemas.openxmlformats.org/officeDocument/2006/relationships/hyperlink" Target="https://www.linkedin.com/learning/creating-a-culture-of-collaboration" TargetMode="External"/><Relationship Id="rId894" Type="http://schemas.openxmlformats.org/officeDocument/2006/relationships/hyperlink" Target="https://www.linkedin.com/learning/converting-face-to-face-training-into-digital-learning" TargetMode="External"/><Relationship Id="rId1177" Type="http://schemas.openxmlformats.org/officeDocument/2006/relationships/hyperlink" Target="https://www.linkedin.com/learning/building-a-coaching-culture-improving-performance-through-timely-feedback/respectful-candor" TargetMode="External"/><Relationship Id="rId1300" Type="http://schemas.openxmlformats.org/officeDocument/2006/relationships/hyperlink" Target="https://www.linkedin.com/learning/17-pr-mistakes-to-avoid" TargetMode="External"/><Relationship Id="rId1745" Type="http://schemas.openxmlformats.org/officeDocument/2006/relationships/hyperlink" Target="https://www.linkedin.com/learning/happiness-tips-weekly" TargetMode="External"/><Relationship Id="rId37" Type="http://schemas.openxmlformats.org/officeDocument/2006/relationships/hyperlink" Target="https://www.linkedin.com/learning/how-to-slow-down-and-be-more-productive" TargetMode="External"/><Relationship Id="rId102" Type="http://schemas.openxmlformats.org/officeDocument/2006/relationships/hyperlink" Target="https://www.linkedin.com/learning/agile-software-development-creating-an-agile-culture" TargetMode="External"/><Relationship Id="rId547" Type="http://schemas.openxmlformats.org/officeDocument/2006/relationships/hyperlink" Target="https://www.linkedin.com/learning/time-tested-methods-for-making-complex-decisions" TargetMode="External"/><Relationship Id="rId754" Type="http://schemas.openxmlformats.org/officeDocument/2006/relationships/hyperlink" Target="https://www.linkedin.com/learning/converting-face-to-face-training-into-digital-learning" TargetMode="External"/><Relationship Id="rId961" Type="http://schemas.openxmlformats.org/officeDocument/2006/relationships/hyperlink" Target="https://www.linkedin.com/learning/devops-foundations-continuous-delivery-continuous-integration" TargetMode="External"/><Relationship Id="rId1384" Type="http://schemas.openxmlformats.org/officeDocument/2006/relationships/hyperlink" Target="https://www.linkedin.com/learning/sales-discovery" TargetMode="External"/><Relationship Id="rId1591" Type="http://schemas.openxmlformats.org/officeDocument/2006/relationships/hyperlink" Target="https://www.linkedin.com/learning/diversity-the-best-resource-for-achieving-business-goals" TargetMode="External"/><Relationship Id="rId1605" Type="http://schemas.openxmlformats.org/officeDocument/2006/relationships/hyperlink" Target="https://www.linkedin.com/learning/inclusion-during-difficult-times" TargetMode="External"/><Relationship Id="rId1689" Type="http://schemas.openxmlformats.org/officeDocument/2006/relationships/hyperlink" Target="https://www.linkedin.com/learning/paths/supporting-your-well-being-during-times-of-change-and-uncertainty" TargetMode="External"/><Relationship Id="rId90" Type="http://schemas.openxmlformats.org/officeDocument/2006/relationships/hyperlink" Target="https://www.linkedin.com/learning/performing-under-pressure" TargetMode="External"/><Relationship Id="rId186" Type="http://schemas.openxmlformats.org/officeDocument/2006/relationships/hyperlink" Target="https://www.linkedin.com/learning/leading-a-customer-service-team" TargetMode="External"/><Relationship Id="rId393" Type="http://schemas.openxmlformats.org/officeDocument/2006/relationships/hyperlink" Target="https://www.linkedin.com/learning/identifying-your-target-market" TargetMode="External"/><Relationship Id="rId407" Type="http://schemas.openxmlformats.org/officeDocument/2006/relationships/hyperlink" Target="https://www.linkedin.com/learning/content-marketing-for-social-media/accelerate-your-content-marketing-on-social-media" TargetMode="External"/><Relationship Id="rId614" Type="http://schemas.openxmlformats.org/officeDocument/2006/relationships/hyperlink" Target="https://www.linkedin.com/learning/working-with-upset-customers" TargetMode="External"/><Relationship Id="rId821" Type="http://schemas.openxmlformats.org/officeDocument/2006/relationships/hyperlink" Target="https://www.linkedin.com/learning/paths/stay-ahead-in-all-things-dibs" TargetMode="External"/><Relationship Id="rId1037" Type="http://schemas.openxmlformats.org/officeDocument/2006/relationships/hyperlink" Target="https://www.linkedin.com/learning/leading-in-uncertain-times" TargetMode="External"/><Relationship Id="rId1244" Type="http://schemas.openxmlformats.org/officeDocument/2006/relationships/hyperlink" Target="https://www.linkedin.com/learning/devops-foundations-lean-and-agile" TargetMode="External"/><Relationship Id="rId1451" Type="http://schemas.openxmlformats.org/officeDocument/2006/relationships/hyperlink" Target="https://www.linkedin.com/learning/the-secret-what-great-leaders-know-and-do-getabstract-summary" TargetMode="External"/><Relationship Id="rId253" Type="http://schemas.openxmlformats.org/officeDocument/2006/relationships/hyperlink" Target="https://www.linkedin.com/learning/paths/develop-your-communication-skills-and-interpersonal-influence" TargetMode="External"/><Relationship Id="rId460" Type="http://schemas.openxmlformats.org/officeDocument/2006/relationships/hyperlink" Target="https://www.linkedin.com/learning/marketing-tools-seo-2019" TargetMode="External"/><Relationship Id="rId698" Type="http://schemas.openxmlformats.org/officeDocument/2006/relationships/hyperlink" Target="https://www.linkedin.com/learning/big-data-analytics-with-hadoop-and-apache-spark" TargetMode="External"/><Relationship Id="rId919" Type="http://schemas.openxmlformats.org/officeDocument/2006/relationships/hyperlink" Target="https://www.linkedin.com/learning/managing-globally/what-is-cultural-agility" TargetMode="External"/><Relationship Id="rId1090" Type="http://schemas.openxmlformats.org/officeDocument/2006/relationships/hyperlink" Target="https://www.linkedin.com/learning/conducting-motivational-1-on-1-reviews" TargetMode="External"/><Relationship Id="rId1104" Type="http://schemas.openxmlformats.org/officeDocument/2006/relationships/hyperlink" Target="https://www.linkedin.com/learning/human-centered-leadership/leading-with-purpose" TargetMode="External"/><Relationship Id="rId1311" Type="http://schemas.openxmlformats.org/officeDocument/2006/relationships/hyperlink" Target="https://www.linkedin.com/learning/creating-and-giving-business-presentations" TargetMode="External"/><Relationship Id="rId1549" Type="http://schemas.openxmlformats.org/officeDocument/2006/relationships/hyperlink" Target="https://www.linkedin.com/learning/managing-experts" TargetMode="External"/><Relationship Id="rId1756" Type="http://schemas.openxmlformats.org/officeDocument/2006/relationships/hyperlink" Target="https://www.linkedin.com/learning/balancing-work-and-life" TargetMode="External"/><Relationship Id="rId48" Type="http://schemas.openxmlformats.org/officeDocument/2006/relationships/hyperlink" Target="https://www.linkedin.com/learning/unlocking-your-potential" TargetMode="External"/><Relationship Id="rId113" Type="http://schemas.openxmlformats.org/officeDocument/2006/relationships/hyperlink" Target="https://www.linkedin.com/learning/crunch-time-how-to-be-your-best-when-it-matters-most-getabstract-summary" TargetMode="External"/><Relationship Id="rId320" Type="http://schemas.openxmlformats.org/officeDocument/2006/relationships/hyperlink" Target="https://www.linkedin.com/learning/building-your-visibility-as-a-leader" TargetMode="External"/><Relationship Id="rId558" Type="http://schemas.openxmlformats.org/officeDocument/2006/relationships/hyperlink" Target="https://www.linkedin.com/learning/using-questions-to-foster-critical-thinking-and-curiosity" TargetMode="External"/><Relationship Id="rId765" Type="http://schemas.openxmlformats.org/officeDocument/2006/relationships/hyperlink" Target="https://www.linkedin.com/learning/accounting-foundations-budgeting-2" TargetMode="External"/><Relationship Id="rId972" Type="http://schemas.openxmlformats.org/officeDocument/2006/relationships/hyperlink" Target="https://www.linkedin.com/learning/azure-administration-deploy-and-manage-virtual-machines" TargetMode="External"/><Relationship Id="rId1188" Type="http://schemas.openxmlformats.org/officeDocument/2006/relationships/hyperlink" Target="https://www.linkedin.com/learning/measuring-team-performance" TargetMode="External"/><Relationship Id="rId1395" Type="http://schemas.openxmlformats.org/officeDocument/2006/relationships/hyperlink" Target="https://www.linkedin.com/learning/engagement-preparation-best-practices-for-customer-success-management" TargetMode="External"/><Relationship Id="rId1409" Type="http://schemas.openxmlformats.org/officeDocument/2006/relationships/hyperlink" Target="https://www.linkedin.com/learning/social-selling-benchmarks-and-scorecard" TargetMode="External"/><Relationship Id="rId1616" Type="http://schemas.openxmlformats.org/officeDocument/2006/relationships/hyperlink" Target="https://www.linkedin.com/learning/becoming-a-male-ally-at-work" TargetMode="External"/><Relationship Id="rId197" Type="http://schemas.openxmlformats.org/officeDocument/2006/relationships/hyperlink" Target="https://www.linkedin.com/learning/communication-within-teams" TargetMode="External"/><Relationship Id="rId418" Type="http://schemas.openxmlformats.org/officeDocument/2006/relationships/hyperlink" Target="https://www.linkedin.com/learning/creating-an-editorial-calendar-revision-2020" TargetMode="External"/><Relationship Id="rId625" Type="http://schemas.openxmlformats.org/officeDocument/2006/relationships/hyperlink" Target="https://www.linkedin.com/learning/paths/become-a-data-analyst" TargetMode="External"/><Relationship Id="rId832" Type="http://schemas.openxmlformats.org/officeDocument/2006/relationships/hyperlink" Target="https://www.linkedin.com/learning/human-resources-foundations" TargetMode="External"/><Relationship Id="rId1048" Type="http://schemas.openxmlformats.org/officeDocument/2006/relationships/hyperlink" Target="https://www.linkedin.com/learning/inspirational-leadership-skills-practical-motivational-leadership" TargetMode="External"/><Relationship Id="rId1255" Type="http://schemas.openxmlformats.org/officeDocument/2006/relationships/hyperlink" Target="https://www.linkedin.com/learning/product-management-building-a-product-strategy" TargetMode="External"/><Relationship Id="rId1462" Type="http://schemas.openxmlformats.org/officeDocument/2006/relationships/hyperlink" Target="https://www.linkedin.com/learning/executive-leadership" TargetMode="External"/><Relationship Id="rId264" Type="http://schemas.openxmlformats.org/officeDocument/2006/relationships/hyperlink" Target="https://www.linkedin.com/learning/women-transforming-tech-finding-sponsors" TargetMode="External"/><Relationship Id="rId471" Type="http://schemas.openxmlformats.org/officeDocument/2006/relationships/hyperlink" Target="https://www.linkedin.com/learning/employer-branding-on-linkedin-revision-2020" TargetMode="External"/><Relationship Id="rId1115" Type="http://schemas.openxmlformats.org/officeDocument/2006/relationships/hyperlink" Target="https://www.linkedin.com/learning/learn-the-process-of-effective-leadership" TargetMode="External"/><Relationship Id="rId1322" Type="http://schemas.openxmlformats.org/officeDocument/2006/relationships/hyperlink" Target="https://www.linkedin.com/learning/basecamp-project-management-best-practices" TargetMode="External"/><Relationship Id="rId1767" Type="http://schemas.openxmlformats.org/officeDocument/2006/relationships/hyperlink" Target="https://www.linkedin.com/learning/how-to-be-a-positive-leader-blinkist" TargetMode="External"/><Relationship Id="rId59" Type="http://schemas.openxmlformats.org/officeDocument/2006/relationships/hyperlink" Target="https://www.linkedin.com/learning/prioritizing-your-tasks" TargetMode="External"/><Relationship Id="rId124" Type="http://schemas.openxmlformats.org/officeDocument/2006/relationships/hyperlink" Target="https://www.linkedin.com/learning/adaptive-project-leadership/adaptive-thinking-in-practice" TargetMode="External"/><Relationship Id="rId569" Type="http://schemas.openxmlformats.org/officeDocument/2006/relationships/hyperlink" Target="https://www.linkedin.com/learning/customer-service-writing-for-social-media" TargetMode="External"/><Relationship Id="rId776" Type="http://schemas.openxmlformats.org/officeDocument/2006/relationships/hyperlink" Target="https://www.linkedin.com/learning/quickbooks-online-essential-training" TargetMode="External"/><Relationship Id="rId983" Type="http://schemas.openxmlformats.org/officeDocument/2006/relationships/hyperlink" Target="https://www.linkedin.com/learning/paths/digital-transformation-for-tech-leaders" TargetMode="External"/><Relationship Id="rId1199" Type="http://schemas.openxmlformats.org/officeDocument/2006/relationships/hyperlink" Target="https://www.linkedin.com/learning/creating-a-communications-strategy" TargetMode="External"/><Relationship Id="rId1627" Type="http://schemas.openxmlformats.org/officeDocument/2006/relationships/hyperlink" Target="https://www.linkedin.com/learning/driving-change-and-anti-racism" TargetMode="External"/><Relationship Id="rId331" Type="http://schemas.openxmlformats.org/officeDocument/2006/relationships/hyperlink" Target="https://www.linkedin.com/learning/having-difficult-conversations-2" TargetMode="External"/><Relationship Id="rId429" Type="http://schemas.openxmlformats.org/officeDocument/2006/relationships/hyperlink" Target="https://www.linkedin.com/learning/international-marketing-foundations,https:/www.linkedin.com/learning/international-marketing-foundations-revision-2020" TargetMode="External"/><Relationship Id="rId636" Type="http://schemas.openxmlformats.org/officeDocument/2006/relationships/hyperlink" Target="https://www.linkedin.com/learning/15-tips-for-landing-a-data-science-job" TargetMode="External"/><Relationship Id="rId1059" Type="http://schemas.openxmlformats.org/officeDocument/2006/relationships/hyperlink" Target="https://www.linkedin.com/learning/leading-yourself" TargetMode="External"/><Relationship Id="rId1266" Type="http://schemas.openxmlformats.org/officeDocument/2006/relationships/hyperlink" Target="https://www.linkedin.com/learning/sap-ariba-supply-chain-collaboration-overview" TargetMode="External"/><Relationship Id="rId1473" Type="http://schemas.openxmlformats.org/officeDocument/2006/relationships/hyperlink" Target="https://www.linkedin.com/learning/ethical-hacking-cryptography" TargetMode="External"/><Relationship Id="rId843" Type="http://schemas.openxmlformats.org/officeDocument/2006/relationships/hyperlink" Target="https://www.linkedin.com/learning/creating-a-culture-of-learning-2020" TargetMode="External"/><Relationship Id="rId1126" Type="http://schemas.openxmlformats.org/officeDocument/2006/relationships/hyperlink" Target="https://www.linkedin.com/learning/how-leaders-can-motivate-by-creating-meaning" TargetMode="External"/><Relationship Id="rId1680" Type="http://schemas.openxmlformats.org/officeDocument/2006/relationships/hyperlink" Target="https://www.linkedin.com/learning/writing-with-impact" TargetMode="External"/><Relationship Id="rId275" Type="http://schemas.openxmlformats.org/officeDocument/2006/relationships/hyperlink" Target="https://www.linkedin.com/learning/crucial-conversations-getabstract-summary" TargetMode="External"/><Relationship Id="rId482" Type="http://schemas.openxmlformats.org/officeDocument/2006/relationships/hyperlink" Target="https://www.linkedin.com/learning/the-five-step-creative-process/welcome" TargetMode="External"/><Relationship Id="rId703" Type="http://schemas.openxmlformats.org/officeDocument/2006/relationships/hyperlink" Target="https://www.linkedin.com/learning/python-for-data-visualization" TargetMode="External"/><Relationship Id="rId910" Type="http://schemas.openxmlformats.org/officeDocument/2006/relationships/hyperlink" Target="https://www.linkedin.com/learning/managing-globally/what-is-cultural-agility" TargetMode="External"/><Relationship Id="rId1333" Type="http://schemas.openxmlformats.org/officeDocument/2006/relationships/hyperlink" Target="https://www.linkedin.com/learning/project-management-foundations-ethics-2019" TargetMode="External"/><Relationship Id="rId1540" Type="http://schemas.openxmlformats.org/officeDocument/2006/relationships/hyperlink" Target="https://www.linkedin.com/learning/paths/recruit-and-maximize-talent" TargetMode="External"/><Relationship Id="rId1638" Type="http://schemas.openxmlformats.org/officeDocument/2006/relationships/hyperlink" Target="https://www.linkedin.com/learning/managing-generation-z/gen-z-unlike-any-you-ve-managed?" TargetMode="External"/><Relationship Id="rId135" Type="http://schemas.openxmlformats.org/officeDocument/2006/relationships/hyperlink" Target="https://www.linkedin.com/learning/boosting-your-team-s-productivity" TargetMode="External"/><Relationship Id="rId342" Type="http://schemas.openxmlformats.org/officeDocument/2006/relationships/hyperlink" Target="https://www.linkedin.com/learning/marketing-during-a-crisis" TargetMode="External"/><Relationship Id="rId787" Type="http://schemas.openxmlformats.org/officeDocument/2006/relationships/hyperlink" Target="https://www.linkedin.com/learning/activity-based-costing" TargetMode="External"/><Relationship Id="rId994" Type="http://schemas.openxmlformats.org/officeDocument/2006/relationships/hyperlink" Target="https://www.linkedin.com/learning/organization-communication" TargetMode="External"/><Relationship Id="rId1400" Type="http://schemas.openxmlformats.org/officeDocument/2006/relationships/hyperlink" Target="https://www.linkedin.com/learning/cold-calling-sales-objections-and-how-to-overcome-them" TargetMode="External"/><Relationship Id="rId202" Type="http://schemas.openxmlformats.org/officeDocument/2006/relationships/hyperlink" Target="https://www.linkedin.com/learning/interpersonal-communication/welcome" TargetMode="External"/><Relationship Id="rId647" Type="http://schemas.openxmlformats.org/officeDocument/2006/relationships/hyperlink" Target="https://www.linkedin.com/learning/excel-statistics-essential-training-1" TargetMode="External"/><Relationship Id="rId854" Type="http://schemas.openxmlformats.org/officeDocument/2006/relationships/hyperlink" Target="https://www.linkedin.com/learning/establishing-work-from-home-policies" TargetMode="External"/><Relationship Id="rId1277" Type="http://schemas.openxmlformats.org/officeDocument/2006/relationships/hyperlink" Target="https://www.linkedin.com/learning/managing-meetings" TargetMode="External"/><Relationship Id="rId1484" Type="http://schemas.openxmlformats.org/officeDocument/2006/relationships/hyperlink" Target="https://www.linkedin.com/learning/using-neuroscience-for-more-effective-l-d" TargetMode="External"/><Relationship Id="rId1691" Type="http://schemas.openxmlformats.org/officeDocument/2006/relationships/hyperlink" Target="https://www.linkedin.com/learning/paths/manage-change-and-develop-your-adaptability-skills" TargetMode="External"/><Relationship Id="rId1705" Type="http://schemas.openxmlformats.org/officeDocument/2006/relationships/hyperlink" Target="https://www.linkedin.com/learning/building-better-routines" TargetMode="External"/><Relationship Id="rId286" Type="http://schemas.openxmlformats.org/officeDocument/2006/relationships/hyperlink" Target="https://www.linkedin.com/learning/building-business-relationships-2" TargetMode="External"/><Relationship Id="rId493" Type="http://schemas.openxmlformats.org/officeDocument/2006/relationships/hyperlink" Target="https://www.linkedin.com/learning/charles-adler-a-story-of-kickstarting-an-idea" TargetMode="External"/><Relationship Id="rId507" Type="http://schemas.openxmlformats.org/officeDocument/2006/relationships/hyperlink" Target="https://www.linkedin.com/learning/unlocking-creativity-blinkist-summary" TargetMode="External"/><Relationship Id="rId714" Type="http://schemas.openxmlformats.org/officeDocument/2006/relationships/hyperlink" Target="https://www.linkedin.com/learning/side-hustle-strategies-for-data-science-and-analytics-experts" TargetMode="External"/><Relationship Id="rId921" Type="http://schemas.openxmlformats.org/officeDocument/2006/relationships/hyperlink" Target="https://www.linkedin.com/learning/paths/master-cloud-native-infrastructure-with-kubernetes" TargetMode="External"/><Relationship Id="rId1137" Type="http://schemas.openxmlformats.org/officeDocument/2006/relationships/hyperlink" Target="https://www.linkedin.com/learning/delegating-tasks" TargetMode="External"/><Relationship Id="rId1344" Type="http://schemas.openxmlformats.org/officeDocument/2006/relationships/hyperlink" Target="https://www.linkedin.com/learning/5s-workplace-productivity" TargetMode="External"/><Relationship Id="rId1551" Type="http://schemas.openxmlformats.org/officeDocument/2006/relationships/hyperlink" Target="https://www.linkedin.com/learning/managing-high-potentials" TargetMode="External"/><Relationship Id="rId50" Type="http://schemas.openxmlformats.org/officeDocument/2006/relationships/hyperlink" Target="https://www.linkedin.com/learning/doubling-your-productivity" TargetMode="External"/><Relationship Id="rId146" Type="http://schemas.openxmlformats.org/officeDocument/2006/relationships/hyperlink" Target="https://www.linkedin.com/learning/the-practices-of-high-performing-employees" TargetMode="External"/><Relationship Id="rId353" Type="http://schemas.openxmlformats.org/officeDocument/2006/relationships/hyperlink" Target="https://www.linkedin.com/learning/working-with-high-conflict-people-as-a-manager" TargetMode="External"/><Relationship Id="rId560" Type="http://schemas.openxmlformats.org/officeDocument/2006/relationships/hyperlink" Target="https://www.linkedin.com/learning/customer-service-leadership" TargetMode="External"/><Relationship Id="rId798" Type="http://schemas.openxmlformats.org/officeDocument/2006/relationships/hyperlink" Target="https://www.linkedin.com/learning/finance-for-non-financial-managers" TargetMode="External"/><Relationship Id="rId1190" Type="http://schemas.openxmlformats.org/officeDocument/2006/relationships/hyperlink" Target="https://www.linkedin.com/learning/business-ethics-for-managers-and-leaders-2019" TargetMode="External"/><Relationship Id="rId1204" Type="http://schemas.openxmlformats.org/officeDocument/2006/relationships/hyperlink" Target="https://www.linkedin.com/learning/devops-foundations-accelerating-continuous-delivery-in-the-enterprise" TargetMode="External"/><Relationship Id="rId1411" Type="http://schemas.openxmlformats.org/officeDocument/2006/relationships/hyperlink" Target="https://www.linkedin.com/learning/sales-enablement" TargetMode="External"/><Relationship Id="rId1649" Type="http://schemas.openxmlformats.org/officeDocument/2006/relationships/hyperlink" Target="https://www.linkedin.com/learning/learning-to-write-for-the-web" TargetMode="External"/><Relationship Id="rId213" Type="http://schemas.openxmlformats.org/officeDocument/2006/relationships/hyperlink" Target="https://www.linkedin.com/learning/how-to-work-with-a-micromanager" TargetMode="External"/><Relationship Id="rId420" Type="http://schemas.openxmlformats.org/officeDocument/2006/relationships/hyperlink" Target="https://www.linkedin.com/learning/programmatic-advertising-foundations-2020" TargetMode="External"/><Relationship Id="rId658" Type="http://schemas.openxmlformats.org/officeDocument/2006/relationships/hyperlink" Target="https://www.linkedin.com/learning/introducing-ai-to-your-organization" TargetMode="External"/><Relationship Id="rId865" Type="http://schemas.openxmlformats.org/officeDocument/2006/relationships/hyperlink" Target="https://www.linkedin.com/learning/creating-a-leadership-development-program" TargetMode="External"/><Relationship Id="rId1050" Type="http://schemas.openxmlformats.org/officeDocument/2006/relationships/hyperlink" Target="https://www.linkedin.com/learning/body-language-for-leaders" TargetMode="External"/><Relationship Id="rId1288" Type="http://schemas.openxmlformats.org/officeDocument/2006/relationships/hyperlink" Target="https://www.linkedin.com/learning/speaking-confidently-and-effectively" TargetMode="External"/><Relationship Id="rId1495" Type="http://schemas.openxmlformats.org/officeDocument/2006/relationships/hyperlink" Target="https://www.linkedin.com/learning/ram-charan-on-coaching-high-potentials" TargetMode="External"/><Relationship Id="rId1509" Type="http://schemas.openxmlformats.org/officeDocument/2006/relationships/hyperlink" Target="https://www.linkedin.com/learning/rewarding-employee-performance" TargetMode="External"/><Relationship Id="rId1716" Type="http://schemas.openxmlformats.org/officeDocument/2006/relationships/hyperlink" Target="https://www.linkedin.com/learning/ergonomics-101" TargetMode="External"/><Relationship Id="rId297" Type="http://schemas.openxmlformats.org/officeDocument/2006/relationships/hyperlink" Target="https://www.linkedin.com/learning/complete-confidence-in-minutes-weekly" TargetMode="External"/><Relationship Id="rId518" Type="http://schemas.openxmlformats.org/officeDocument/2006/relationships/hyperlink" Target="https://www.linkedin.com/learning/balancing-innovation-and-risk" TargetMode="External"/><Relationship Id="rId725" Type="http://schemas.openxmlformats.org/officeDocument/2006/relationships/hyperlink" Target="https://www.linkedin.com/learning/creating-fun-and-engaging-video-training-the-why" TargetMode="External"/><Relationship Id="rId932" Type="http://schemas.openxmlformats.org/officeDocument/2006/relationships/hyperlink" Target="https://www.linkedin.com/learning/comptia-security-plus-sy0-601-cert-prep-8-network-security-design-and-implementation" TargetMode="External"/><Relationship Id="rId1148" Type="http://schemas.openxmlformats.org/officeDocument/2006/relationships/hyperlink" Target="https://www.linkedin.com/learning/avoiding-new-manager-mistakes" TargetMode="External"/><Relationship Id="rId1355" Type="http://schemas.openxmlformats.org/officeDocument/2006/relationships/hyperlink" Target="https://www.linkedin.com/learning/transitioning-from-waterfall-to-agile-project-management-2019" TargetMode="External"/><Relationship Id="rId1562" Type="http://schemas.openxmlformats.org/officeDocument/2006/relationships/hyperlink" Target="https://www.linkedin.com/learning/rewarding-employee-performance" TargetMode="External"/><Relationship Id="rId157" Type="http://schemas.openxmlformats.org/officeDocument/2006/relationships/hyperlink" Target="https://www.linkedin.com/learning/managing-teams-3" TargetMode="External"/><Relationship Id="rId364" Type="http://schemas.openxmlformats.org/officeDocument/2006/relationships/hyperlink" Target="https://www.linkedin.com/learning/advanced-google-ads-2020" TargetMode="External"/><Relationship Id="rId1008" Type="http://schemas.openxmlformats.org/officeDocument/2006/relationships/hyperlink" Target="https://www.linkedin.com/learning/leading-organizations-ten-timeless-truths-getabstract-summary" TargetMode="External"/><Relationship Id="rId1215" Type="http://schemas.openxmlformats.org/officeDocument/2006/relationships/hyperlink" Target="https://www.linkedin.com/learning/lean-foundations" TargetMode="External"/><Relationship Id="rId1422" Type="http://schemas.openxmlformats.org/officeDocument/2006/relationships/hyperlink" Target="https://www.linkedin.com/learning/strategic-agility/welcome" TargetMode="External"/><Relationship Id="rId61" Type="http://schemas.openxmlformats.org/officeDocument/2006/relationships/hyperlink" Target="https://www.linkedin.com/learning/time-tested-methods-for-making-complex-decisions" TargetMode="External"/><Relationship Id="rId571" Type="http://schemas.openxmlformats.org/officeDocument/2006/relationships/hyperlink" Target="https://www.linkedin.com/learning/it-service-desk-customer-service-fundamentals" TargetMode="External"/><Relationship Id="rId669" Type="http://schemas.openxmlformats.org/officeDocument/2006/relationships/hyperlink" Target="https://www.linkedin.com/learning/cloud-hadoop-scaling-apache-spark" TargetMode="External"/><Relationship Id="rId876" Type="http://schemas.openxmlformats.org/officeDocument/2006/relationships/hyperlink" Target="https://www.linkedin.com/learning/human-resources-managing-employee-problems" TargetMode="External"/><Relationship Id="rId1299" Type="http://schemas.openxmlformats.org/officeDocument/2006/relationships/hyperlink" Target="https://www.linkedin.com/learning/communicating-with-confidence" TargetMode="External"/><Relationship Id="rId1727" Type="http://schemas.openxmlformats.org/officeDocument/2006/relationships/hyperlink" Target="https://www.linkedin.com/learning/developing-adaptable-employees" TargetMode="External"/><Relationship Id="rId19" Type="http://schemas.openxmlformats.org/officeDocument/2006/relationships/hyperlink" Target="https://www.linkedin.com/learning/monday-productivity-pointers" TargetMode="External"/><Relationship Id="rId224" Type="http://schemas.openxmlformats.org/officeDocument/2006/relationships/hyperlink" Target="https://www.linkedin.com/learning/dealing-with-grief-loss-and-change-as-an-employee" TargetMode="External"/><Relationship Id="rId431" Type="http://schemas.openxmlformats.org/officeDocument/2006/relationships/hyperlink" Target="https://www.linkedin.com/learning/creating-social-content-with-adobe-animate-cc" TargetMode="External"/><Relationship Id="rId529" Type="http://schemas.openxmlformats.org/officeDocument/2006/relationships/hyperlink" Target="https://www.linkedin.com/learning/cultivating-a-growth-mindset" TargetMode="External"/><Relationship Id="rId736" Type="http://schemas.openxmlformats.org/officeDocument/2006/relationships/hyperlink" Target="https://www.linkedin.com/learning/graphic-design-foundations-ideas-concepts-and-form" TargetMode="External"/><Relationship Id="rId1061" Type="http://schemas.openxmlformats.org/officeDocument/2006/relationships/hyperlink" Target="https://www.linkedin.com/learning/transitioning-from-manager-to-leader" TargetMode="External"/><Relationship Id="rId1159" Type="http://schemas.openxmlformats.org/officeDocument/2006/relationships/hyperlink" Target="https://www.linkedin.com/learning/leading-virtual-meetings" TargetMode="External"/><Relationship Id="rId1366" Type="http://schemas.openxmlformats.org/officeDocument/2006/relationships/hyperlink" Target="https://www.linkedin.com/learning/creating-a-program-strategy" TargetMode="External"/><Relationship Id="rId168" Type="http://schemas.openxmlformats.org/officeDocument/2006/relationships/hyperlink" Target="https://www.linkedin.com/learning/microsoft-teams-successful-meetings-and-events" TargetMode="External"/><Relationship Id="rId943" Type="http://schemas.openxmlformats.org/officeDocument/2006/relationships/hyperlink" Target="https://www.linkedin.com/learning/outlook-automating-your-email-with-mail-rules" TargetMode="External"/><Relationship Id="rId1019" Type="http://schemas.openxmlformats.org/officeDocument/2006/relationships/hyperlink" Target="https://www.linkedin.com/learning/leading-change-in-large-distributed-organizations" TargetMode="External"/><Relationship Id="rId1573" Type="http://schemas.openxmlformats.org/officeDocument/2006/relationships/hyperlink" Target="https://www.linkedin.com/learning/interviewing-techniques-2019" TargetMode="External"/><Relationship Id="rId72" Type="http://schemas.openxmlformats.org/officeDocument/2006/relationships/hyperlink" Target="https://www.linkedin.com/learning/business-ethics-2019" TargetMode="External"/><Relationship Id="rId375" Type="http://schemas.openxmlformats.org/officeDocument/2006/relationships/hyperlink" Target="https://www.linkedin.com/learning/marketing-to-humans" TargetMode="External"/><Relationship Id="rId582" Type="http://schemas.openxmlformats.org/officeDocument/2006/relationships/hyperlink" Target="https://www.linkedin.com/learning/value-realization-best-practices-for-customer-success-management" TargetMode="External"/><Relationship Id="rId803" Type="http://schemas.openxmlformats.org/officeDocument/2006/relationships/hyperlink" Target="https://www.linkedin.com/learning/financial-forecasting-with-big-data" TargetMode="External"/><Relationship Id="rId1226" Type="http://schemas.openxmlformats.org/officeDocument/2006/relationships/hyperlink" Target="https://www.linkedin.com/learning/implementing-continuous-improvement-a-case-study" TargetMode="External"/><Relationship Id="rId1433" Type="http://schemas.openxmlformats.org/officeDocument/2006/relationships/hyperlink" Target="https://www.linkedin.com/learning/strategic-thinking" TargetMode="External"/><Relationship Id="rId1640" Type="http://schemas.openxmlformats.org/officeDocument/2006/relationships/hyperlink" Target="https://www.linkedin.com/learning/social-interactions-for-multinational-teams/communication-mistakes-around-the-world?" TargetMode="External"/><Relationship Id="rId1738" Type="http://schemas.openxmlformats.org/officeDocument/2006/relationships/hyperlink" Target="https://www.linkedin.com/learning/the-courage-habit-getabstract-summary" TargetMode="External"/><Relationship Id="rId3" Type="http://schemas.openxmlformats.org/officeDocument/2006/relationships/hyperlink" Target="http://www.linkedin.com/learning/be-more-productive-take-small-steps-have-big-goals/gretchen-rubin-on-the-four-pillars-of-habit-formation" TargetMode="External"/><Relationship Id="rId235" Type="http://schemas.openxmlformats.org/officeDocument/2006/relationships/hyperlink" Target="https://www.linkedin.com/learning/creating-a-connection-culture,https:/www.linkedin.com/learning/creating-a-culture-of-connection" TargetMode="External"/><Relationship Id="rId442" Type="http://schemas.openxmlformats.org/officeDocument/2006/relationships/hyperlink" Target="https://www.linkedin.com/learning/disruptive-branding-blinkist-summary" TargetMode="External"/><Relationship Id="rId887" Type="http://schemas.openxmlformats.org/officeDocument/2006/relationships/hyperlink" Target="https://www.linkedin.com/learning/diversity-recruiting-2020" TargetMode="External"/><Relationship Id="rId1072" Type="http://schemas.openxmlformats.org/officeDocument/2006/relationships/hyperlink" Target="https://www.linkedin.com/learning/superhuman-innovation-blinkist-summary" TargetMode="External"/><Relationship Id="rId1500" Type="http://schemas.openxmlformats.org/officeDocument/2006/relationships/hyperlink" Target="https://www.linkedin.com/learning/women-transforming-tech-breaking-in-and-staying-in-the-industry" TargetMode="External"/><Relationship Id="rId302" Type="http://schemas.openxmlformats.org/officeDocument/2006/relationships/hyperlink" Target="https://www.linkedin.com/learning/difficult-conversations-talking-about-race-at-work" TargetMode="External"/><Relationship Id="rId747" Type="http://schemas.openxmlformats.org/officeDocument/2006/relationships/hyperlink" Target="https://www.linkedin.com/learning/camtasia-2019-essential-training-advanced-techniques" TargetMode="External"/><Relationship Id="rId954" Type="http://schemas.openxmlformats.org/officeDocument/2006/relationships/hyperlink" Target="https://www.linkedin.com/learning/manage-apps-with-configuration-manager" TargetMode="External"/><Relationship Id="rId1377" Type="http://schemas.openxmlformats.org/officeDocument/2006/relationships/hyperlink" Target="https://www.linkedin.com/learning/managing-projects-with-microsoft-teams" TargetMode="External"/><Relationship Id="rId1584" Type="http://schemas.openxmlformats.org/officeDocument/2006/relationships/hyperlink" Target="https://www.linkedin.com/learning/paths/transition-from-military-to-civilian-employment" TargetMode="External"/><Relationship Id="rId83" Type="http://schemas.openxmlformats.org/officeDocument/2006/relationships/hyperlink" Target="https://www.linkedin.com/learning/how-to-slash-anxiety-and-keep-positivity-flowing" TargetMode="External"/><Relationship Id="rId179" Type="http://schemas.openxmlformats.org/officeDocument/2006/relationships/hyperlink" Target="https://www.linkedin.com/learning/having-career-conversations-with-your-team-members" TargetMode="External"/><Relationship Id="rId386" Type="http://schemas.openxmlformats.org/officeDocument/2006/relationships/hyperlink" Target="https://www.linkedin.com/learning/creating-marketing-objectives" TargetMode="External"/><Relationship Id="rId593" Type="http://schemas.openxmlformats.org/officeDocument/2006/relationships/hyperlink" Target="https://www.linkedin.com/learning/customer-service-handling-abusive-customers" TargetMode="External"/><Relationship Id="rId607" Type="http://schemas.openxmlformats.org/officeDocument/2006/relationships/hyperlink" Target="https://www.linkedin.com/learning/innovative-customer-service-techniques" TargetMode="External"/><Relationship Id="rId814" Type="http://schemas.openxmlformats.org/officeDocument/2006/relationships/hyperlink" Target="https://www.linkedin.com/learning/employee-engagement/define-engagement" TargetMode="External"/><Relationship Id="rId1237" Type="http://schemas.openxmlformats.org/officeDocument/2006/relationships/hyperlink" Target="https://www.linkedin.com/learning/following-the-digital-thread" TargetMode="External"/><Relationship Id="rId1444" Type="http://schemas.openxmlformats.org/officeDocument/2006/relationships/hyperlink" Target="https://www.linkedin.com/learning/safeguarding-ai" TargetMode="External"/><Relationship Id="rId1651" Type="http://schemas.openxmlformats.org/officeDocument/2006/relationships/hyperlink" Target="https://www.linkedin.com/learning/note-taking-for-business-professionals" TargetMode="External"/><Relationship Id="rId246" Type="http://schemas.openxmlformats.org/officeDocument/2006/relationships/hyperlink" Target="https://www.linkedin.com/learning/crisis-communication-for-hr" TargetMode="External"/><Relationship Id="rId453" Type="http://schemas.openxmlformats.org/officeDocument/2006/relationships/hyperlink" Target="https://www.linkedin.com/learning/social-media-monitoring-strategies-and-skills-revision-2020" TargetMode="External"/><Relationship Id="rId660" Type="http://schemas.openxmlformats.org/officeDocument/2006/relationships/hyperlink" Target="https://www.linkedin.com/learning/introduction-to-business-analytics" TargetMode="External"/><Relationship Id="rId898" Type="http://schemas.openxmlformats.org/officeDocument/2006/relationships/hyperlink" Target="https://www.linkedin.com/learning/paths/advance-your-skills-as-an-azure-it-administrator" TargetMode="External"/><Relationship Id="rId1083" Type="http://schemas.openxmlformats.org/officeDocument/2006/relationships/hyperlink" Target="https://www.linkedin.com/learning/taking-your-leadership-to-a-higher-level" TargetMode="External"/><Relationship Id="rId1290" Type="http://schemas.openxmlformats.org/officeDocument/2006/relationships/hyperlink" Target="https://www.linkedin.com/learning/presenting-technical-information-with-stories" TargetMode="External"/><Relationship Id="rId1304" Type="http://schemas.openxmlformats.org/officeDocument/2006/relationships/hyperlink" Target="https://www.linkedin.com/learning/master-confident-presentations" TargetMode="External"/><Relationship Id="rId1511" Type="http://schemas.openxmlformats.org/officeDocument/2006/relationships/hyperlink" Target="https://www.linkedin.com/learning/motivating-and-engaging-employees-2/welcome" TargetMode="External"/><Relationship Id="rId1749" Type="http://schemas.openxmlformats.org/officeDocument/2006/relationships/hyperlink" Target="https://www.linkedin.com/learning/the-five-thieves-of-happiness-getabstract-summary" TargetMode="External"/><Relationship Id="rId106" Type="http://schemas.openxmlformats.org/officeDocument/2006/relationships/hyperlink" Target="https://www.linkedin.com/learning/preparing-to-lead-developing-mental-toughness-in-yourself" TargetMode="External"/><Relationship Id="rId313" Type="http://schemas.openxmlformats.org/officeDocument/2006/relationships/hyperlink" Target="https://www.linkedin.com/learning/facilitation-skills-for-managers-and-leaders" TargetMode="External"/><Relationship Id="rId758" Type="http://schemas.openxmlformats.org/officeDocument/2006/relationships/hyperlink" Target="https://www.linkedin.com/learning/accounting-foundations-asset-impairment" TargetMode="External"/><Relationship Id="rId965" Type="http://schemas.openxmlformats.org/officeDocument/2006/relationships/hyperlink" Target="https://www.linkedin.com/learning/api-test-automation-with-soapui" TargetMode="External"/><Relationship Id="rId1150" Type="http://schemas.openxmlformats.org/officeDocument/2006/relationships/hyperlink" Target="https://www.linkedin.com/learning/simple-manager-tools-that-cure-the-under-management-epidemic" TargetMode="External"/><Relationship Id="rId1388" Type="http://schemas.openxmlformats.org/officeDocument/2006/relationships/hyperlink" Target="https://www.linkedin.com/learning/value-realization-best-practices-for-customer-success-management" TargetMode="External"/><Relationship Id="rId1595" Type="http://schemas.openxmlformats.org/officeDocument/2006/relationships/hyperlink" Target="https://www.linkedin.com/learning/teaching-with-linkedin-learning" TargetMode="External"/><Relationship Id="rId1609" Type="http://schemas.openxmlformats.org/officeDocument/2006/relationships/hyperlink" Target="https://www.linkedin.com/learning/the-power-of-introverts" TargetMode="External"/><Relationship Id="rId10" Type="http://schemas.openxmlformats.org/officeDocument/2006/relationships/hyperlink" Target="https://www.linkedin.com/learning/enhancing-resilience" TargetMode="External"/><Relationship Id="rId94" Type="http://schemas.openxmlformats.org/officeDocument/2006/relationships/hyperlink" Target="https://www.linkedin.com/learning/enhancing-resilience" TargetMode="External"/><Relationship Id="rId397" Type="http://schemas.openxmlformats.org/officeDocument/2006/relationships/hyperlink" Target="https://www.linkedin.com/learning/shopify-ecommerce-for-marketers" TargetMode="External"/><Relationship Id="rId520" Type="http://schemas.openxmlformats.org/officeDocument/2006/relationships/hyperlink" Target="https://www.linkedin.com/learning/the-definitive-drucker-getabstract-summary" TargetMode="External"/><Relationship Id="rId618" Type="http://schemas.openxmlformats.org/officeDocument/2006/relationships/hyperlink" Target="https://www.linkedin.com/learning/making-business-videos-for-customers" TargetMode="External"/><Relationship Id="rId825" Type="http://schemas.openxmlformats.org/officeDocument/2006/relationships/hyperlink" Target="https://www.linkedin.com/learning/using-neuroscience-for-more-effective-l-d" TargetMode="External"/><Relationship Id="rId1248" Type="http://schemas.openxmlformats.org/officeDocument/2006/relationships/hyperlink" Target="https://www.linkedin.com/learning/excel-supply-chain-analysis-solving-transportation-problems" TargetMode="External"/><Relationship Id="rId1455" Type="http://schemas.openxmlformats.org/officeDocument/2006/relationships/hyperlink" Target="https://www.linkedin.com/learning/content-marketing-roi,https:/www.linkedin.com/learning/content-marketing-roi-2,https:/www.linkedin.com/learning/content-marketing-roi-revision-2020" TargetMode="External"/><Relationship Id="rId1662" Type="http://schemas.openxmlformats.org/officeDocument/2006/relationships/hyperlink" Target="https://www.linkedin.com/learning/writing-a-business-report" TargetMode="External"/><Relationship Id="rId257" Type="http://schemas.openxmlformats.org/officeDocument/2006/relationships/hyperlink" Target="https://www.linkedin.com/learning/interpersonal-communication/welcome" TargetMode="External"/><Relationship Id="rId464" Type="http://schemas.openxmlformats.org/officeDocument/2006/relationships/hyperlink" Target="https://www.linkedin.com/learning/seo-keyword-strategy-2020" TargetMode="External"/><Relationship Id="rId1010" Type="http://schemas.openxmlformats.org/officeDocument/2006/relationships/hyperlink" Target="https://www.linkedin.com/learning/the-courage-habit-getabstract-summary" TargetMode="External"/><Relationship Id="rId1094" Type="http://schemas.openxmlformats.org/officeDocument/2006/relationships/hyperlink" Target="https://www.linkedin.com/learning/leading-and-managing-the-whole-self" TargetMode="External"/><Relationship Id="rId1108" Type="http://schemas.openxmlformats.org/officeDocument/2006/relationships/hyperlink" Target="https://www.linkedin.com/learning/leading-and-working-in-teams" TargetMode="External"/><Relationship Id="rId1315" Type="http://schemas.openxmlformats.org/officeDocument/2006/relationships/hyperlink" Target="https://www.linkedin.com/learning/meeting-facilitation/making-meetings-better" TargetMode="External"/><Relationship Id="rId117" Type="http://schemas.openxmlformats.org/officeDocument/2006/relationships/hyperlink" Target="https://www.linkedin.com/learning/managing-career-burnout" TargetMode="External"/><Relationship Id="rId671" Type="http://schemas.openxmlformats.org/officeDocument/2006/relationships/hyperlink" Target="https://www.linkedin.com/learning/data-science-foundations-data-engineering" TargetMode="External"/><Relationship Id="rId769" Type="http://schemas.openxmlformats.org/officeDocument/2006/relationships/hyperlink" Target="https://www.linkedin.com/learning/finance-foundations-income-taxes-2" TargetMode="External"/><Relationship Id="rId976" Type="http://schemas.openxmlformats.org/officeDocument/2006/relationships/hyperlink" Target="https://www.linkedin.com/learning/deep-learning-face-recognition" TargetMode="External"/><Relationship Id="rId1399" Type="http://schemas.openxmlformats.org/officeDocument/2006/relationships/hyperlink" Target="https://www.linkedin.com/learning/sales-fundamentals" TargetMode="External"/><Relationship Id="rId324" Type="http://schemas.openxmlformats.org/officeDocument/2006/relationships/hyperlink" Target="https://www.linkedin.com/learning/how-to-proactively-manage-conflict-as-an-employee" TargetMode="External"/><Relationship Id="rId531" Type="http://schemas.openxmlformats.org/officeDocument/2006/relationships/hyperlink" Target="https://www.linkedin.com/learning/delivering-results-effectively" TargetMode="External"/><Relationship Id="rId629" Type="http://schemas.openxmlformats.org/officeDocument/2006/relationships/hyperlink" Target="https://www.linkedin.com/learning/paths/become-a-data-scientist" TargetMode="External"/><Relationship Id="rId1161" Type="http://schemas.openxmlformats.org/officeDocument/2006/relationships/hyperlink" Target="https://www.linkedin.com/learning/recognizing-and-rewarding-your-workers" TargetMode="External"/><Relationship Id="rId1259" Type="http://schemas.openxmlformats.org/officeDocument/2006/relationships/hyperlink" Target="https://www.linkedin.com/learning/sustainability-strategies" TargetMode="External"/><Relationship Id="rId1466" Type="http://schemas.openxmlformats.org/officeDocument/2006/relationships/hyperlink" Target="https://www.linkedin.com/learning/strategic-human-resources/what-you-should-know-before-watching-this-course" TargetMode="External"/><Relationship Id="rId836" Type="http://schemas.openxmlformats.org/officeDocument/2006/relationships/hyperlink" Target="https://www.linkedin.com/learning/women-transforming-tech-finding-sponsors" TargetMode="External"/><Relationship Id="rId1021" Type="http://schemas.openxmlformats.org/officeDocument/2006/relationships/hyperlink" Target="https://www.linkedin.com/learning/using-emotions-to-leverage-and-accelerate-change-a-guide-for-leaders" TargetMode="External"/><Relationship Id="rId1119" Type="http://schemas.openxmlformats.org/officeDocument/2006/relationships/hyperlink" Target="https://www.linkedin.com/learning/navigating-politics-as-a-senior-leader" TargetMode="External"/><Relationship Id="rId1673" Type="http://schemas.openxmlformats.org/officeDocument/2006/relationships/hyperlink" Target="https://www.linkedin.com/learning/writing-email" TargetMode="External"/><Relationship Id="rId903" Type="http://schemas.openxmlformats.org/officeDocument/2006/relationships/hyperlink" Target="https://www.linkedin.com/learning/paths/advance-your-skills-in-deep-learning-and-neural-networks" TargetMode="External"/><Relationship Id="rId1326" Type="http://schemas.openxmlformats.org/officeDocument/2006/relationships/hyperlink" Target="https://www.linkedin.com/learning/project-management-foundations-4" TargetMode="External"/><Relationship Id="rId1533" Type="http://schemas.openxmlformats.org/officeDocument/2006/relationships/hyperlink" Target="https://www.linkedin.com/learning/persuasive-coaching" TargetMode="External"/><Relationship Id="rId1740" Type="http://schemas.openxmlformats.org/officeDocument/2006/relationships/hyperlink" Target="https://www.linkedin.com/learning/supporting-your-mental-health-while-working-from-home" TargetMode="External"/><Relationship Id="rId32" Type="http://schemas.openxmlformats.org/officeDocument/2006/relationships/hyperlink" Target="https://www.linkedin.com/learning/productivity-tips-finding-your-productive-mindset-2020" TargetMode="External"/><Relationship Id="rId1600" Type="http://schemas.openxmlformats.org/officeDocument/2006/relationships/hyperlink" Target="https://www.linkedin.com/learning/women-transforming-tech-finding-sponsors/the-difference-between-sponsors-and-mentors" TargetMode="External"/><Relationship Id="rId181" Type="http://schemas.openxmlformats.org/officeDocument/2006/relationships/hyperlink" Target="https://www.linkedin.com/learning/building-and-managing-a-high-performing-sales-team" TargetMode="External"/><Relationship Id="rId279" Type="http://schemas.openxmlformats.org/officeDocument/2006/relationships/hyperlink" Target="https://www.linkedin.com/learning/the-power-of-introverts" TargetMode="External"/><Relationship Id="rId486" Type="http://schemas.openxmlformats.org/officeDocument/2006/relationships/hyperlink" Target="https://www.linkedin.com/learning/mission-and-vision-statements-explained" TargetMode="External"/><Relationship Id="rId693" Type="http://schemas.openxmlformats.org/officeDocument/2006/relationships/hyperlink" Target="https://www.linkedin.com/learning/meta-analysis-for-data-science-and-business-analytics" TargetMode="External"/><Relationship Id="rId139" Type="http://schemas.openxmlformats.org/officeDocument/2006/relationships/hyperlink" Target="https://www.linkedin.com/learning/communication-within-teams" TargetMode="External"/><Relationship Id="rId346" Type="http://schemas.openxmlformats.org/officeDocument/2006/relationships/hyperlink" Target="https://www.linkedin.com/learning/facilitation-skills-for-managers-and-leaders" TargetMode="External"/><Relationship Id="rId553" Type="http://schemas.openxmlformats.org/officeDocument/2006/relationships/hyperlink" Target="https://www.linkedin.com/learning/practical-creativity-for-everyone" TargetMode="External"/><Relationship Id="rId760" Type="http://schemas.openxmlformats.org/officeDocument/2006/relationships/hyperlink" Target="https://www.linkedin.com/learning/financial-adulting" TargetMode="External"/><Relationship Id="rId998" Type="http://schemas.openxmlformats.org/officeDocument/2006/relationships/hyperlink" Target="https://www.linkedin.com/learning/mission-and-vision-statements-explained" TargetMode="External"/><Relationship Id="rId1183" Type="http://schemas.openxmlformats.org/officeDocument/2006/relationships/hyperlink" Target="https://www.linkedin.com/learning/facilitation-skills-for-managers-and-leaders" TargetMode="External"/><Relationship Id="rId1390" Type="http://schemas.openxmlformats.org/officeDocument/2006/relationships/hyperlink" Target="https://www.linkedin.com/learning/onboarding-and-adoption-best-practices-for-customer-success-management" TargetMode="External"/><Relationship Id="rId206" Type="http://schemas.openxmlformats.org/officeDocument/2006/relationships/hyperlink" Target="https://www.linkedin.com/learning/women-transforming-tech-networking" TargetMode="External"/><Relationship Id="rId413" Type="http://schemas.openxmlformats.org/officeDocument/2006/relationships/hyperlink" Target="https://www.linkedin.com/learning/building-a-winning-enterprise-marketing-strategy" TargetMode="External"/><Relationship Id="rId858" Type="http://schemas.openxmlformats.org/officeDocument/2006/relationships/hyperlink" Target="https://www.linkedin.com/learning/addiction-a-community-issue" TargetMode="External"/><Relationship Id="rId1043" Type="http://schemas.openxmlformats.org/officeDocument/2006/relationships/hyperlink" Target="https://www.linkedin.com/learning/paths/become-an-inclusive-leader" TargetMode="External"/><Relationship Id="rId1488" Type="http://schemas.openxmlformats.org/officeDocument/2006/relationships/hyperlink" Target="https://www.linkedin.com/learning/talent-management/what-you-should-know-before-watching-this-course" TargetMode="External"/><Relationship Id="rId1695" Type="http://schemas.openxmlformats.org/officeDocument/2006/relationships/hyperlink" Target="https://www.linkedin.com/learning/paths/support-your-mental-health-during-challenging-times" TargetMode="External"/><Relationship Id="rId620" Type="http://schemas.openxmlformats.org/officeDocument/2006/relationships/hyperlink" Target="https://www.linkedin.com/learning/leading-a-customer-service-team" TargetMode="External"/><Relationship Id="rId718" Type="http://schemas.openxmlformats.org/officeDocument/2006/relationships/hyperlink" Target="https://www.linkedin.com/learning/using-neuroscience-for-more-effective-l-d" TargetMode="External"/><Relationship Id="rId925" Type="http://schemas.openxmlformats.org/officeDocument/2006/relationships/hyperlink" Target="https://www.linkedin.com/learning/introducing-ai-to-your-organization" TargetMode="External"/><Relationship Id="rId1250" Type="http://schemas.openxmlformats.org/officeDocument/2006/relationships/hyperlink" Target="https://www.linkedin.com/learning/implementing-supply-chain-management/why-supply-chain-management-matters" TargetMode="External"/><Relationship Id="rId1348" Type="http://schemas.openxmlformats.org/officeDocument/2006/relationships/hyperlink" Target="https://www.linkedin.com/learning/productivity-prioritizing-at-work" TargetMode="External"/><Relationship Id="rId1555" Type="http://schemas.openxmlformats.org/officeDocument/2006/relationships/hyperlink" Target="https://www.linkedin.com/learning/talent-management" TargetMode="External"/><Relationship Id="rId1762" Type="http://schemas.openxmlformats.org/officeDocument/2006/relationships/hyperlink" Target="https://www.linkedin.com/learning/thriving-work-leveraging-the-connection-between-well-being-and-productivity" TargetMode="External"/><Relationship Id="rId1110" Type="http://schemas.openxmlformats.org/officeDocument/2006/relationships/hyperlink" Target="https://www.linkedin.com/learning/project-management-foundations-leading-projects" TargetMode="External"/><Relationship Id="rId1208" Type="http://schemas.openxmlformats.org/officeDocument/2006/relationships/hyperlink" Target="https://www.linkedin.com/learning/mastering-organizational-chaos" TargetMode="External"/><Relationship Id="rId1415" Type="http://schemas.openxmlformats.org/officeDocument/2006/relationships/hyperlink" Target="https://www.linkedin.com/learning/paths/develop-your-strategic-planning-skills" TargetMode="External"/><Relationship Id="rId54" Type="http://schemas.openxmlformats.org/officeDocument/2006/relationships/hyperlink" Target="https://www.linkedin.com/learning/components-of-effective-learning" TargetMode="External"/><Relationship Id="rId1622" Type="http://schemas.openxmlformats.org/officeDocument/2006/relationships/hyperlink" Target="https://www.linkedin.com/learning/preventing-harassment-in-the-workplace" TargetMode="External"/><Relationship Id="rId270" Type="http://schemas.openxmlformats.org/officeDocument/2006/relationships/hyperlink" Target="https://www.linkedin.com/learning/communicating-in-the-language-of-leadership" TargetMode="External"/><Relationship Id="rId130" Type="http://schemas.openxmlformats.org/officeDocument/2006/relationships/hyperlink" Target="https://www.linkedin.com/learning/leading-your-team-through-change" TargetMode="External"/><Relationship Id="rId368" Type="http://schemas.openxmlformats.org/officeDocument/2006/relationships/hyperlink" Target="https://www.linkedin.com/learning/growth-hacking-foundations" TargetMode="External"/><Relationship Id="rId575" Type="http://schemas.openxmlformats.org/officeDocument/2006/relationships/hyperlink" Target="https://www.linkedin.com/learning/writing-customer-service-emails" TargetMode="External"/><Relationship Id="rId782" Type="http://schemas.openxmlformats.org/officeDocument/2006/relationships/hyperlink" Target="https://www.linkedin.com/learning/quickbooks-payroll-essential-training" TargetMode="External"/><Relationship Id="rId228" Type="http://schemas.openxmlformats.org/officeDocument/2006/relationships/hyperlink" Target="https://www.linkedin.com/learning/leveraging-your-relationship-capital" TargetMode="External"/><Relationship Id="rId435" Type="http://schemas.openxmlformats.org/officeDocument/2006/relationships/hyperlink" Target="https://www.linkedin.com/learning/marketing-on-twitter-2019" TargetMode="External"/><Relationship Id="rId642" Type="http://schemas.openxmlformats.org/officeDocument/2006/relationships/hyperlink" Target="https://www.linkedin.com/learning/business-analysis-business-benefits-realization" TargetMode="External"/><Relationship Id="rId1065" Type="http://schemas.openxmlformats.org/officeDocument/2006/relationships/hyperlink" Target="https://www.linkedin.com/learning/management-foundations-2019" TargetMode="External"/><Relationship Id="rId1272" Type="http://schemas.openxmlformats.org/officeDocument/2006/relationships/hyperlink" Target="https://www.linkedin.com/learning/creating-a-meeting-agenda" TargetMode="External"/><Relationship Id="rId502" Type="http://schemas.openxmlformats.org/officeDocument/2006/relationships/hyperlink" Target="https://www.linkedin.com/learning/mapping-innovation-a-playbook-for-navigating-a-disruptive-age-getabstract-summary" TargetMode="External"/><Relationship Id="rId947" Type="http://schemas.openxmlformats.org/officeDocument/2006/relationships/hyperlink" Target="https://www.linkedin.com/learning/scaling-applications-with-microsoft-azure" TargetMode="External"/><Relationship Id="rId1132" Type="http://schemas.openxmlformats.org/officeDocument/2006/relationships/hyperlink" Target="https://www.linkedin.com/learning/paths/managing-others-effectively-3" TargetMode="External"/><Relationship Id="rId1577" Type="http://schemas.openxmlformats.org/officeDocument/2006/relationships/hyperlink" Target="https://www.linkedin.com/learning/global-strategy" TargetMode="External"/><Relationship Id="rId76" Type="http://schemas.openxmlformats.org/officeDocument/2006/relationships/hyperlink" Target="https://www.linkedin.com/learning/the-power-of-lists-to-get-stuff-done" TargetMode="External"/><Relationship Id="rId807" Type="http://schemas.openxmlformats.org/officeDocument/2006/relationships/hyperlink" Target="https://www.linkedin.com/learning/financial-modeling-and-forecasting-financial-statements" TargetMode="External"/><Relationship Id="rId1437" Type="http://schemas.openxmlformats.org/officeDocument/2006/relationships/hyperlink" Target="https://www.linkedin.com/learning/market-trends-and-how-to-identify-them" TargetMode="External"/><Relationship Id="rId1644" Type="http://schemas.openxmlformats.org/officeDocument/2006/relationships/hyperlink" Target="https://www.linkedin.com/learning/empathy-at-work" TargetMode="External"/><Relationship Id="rId1504" Type="http://schemas.openxmlformats.org/officeDocument/2006/relationships/hyperlink" Target="https://www.linkedin.com/learning/goal-setting-objectives-and-key-results-okrs" TargetMode="External"/><Relationship Id="rId1711" Type="http://schemas.openxmlformats.org/officeDocument/2006/relationships/hyperlink" Target="https://www.linkedin.com/learning/the-science-of-compassion-compassionate-presence" TargetMode="External"/><Relationship Id="rId292" Type="http://schemas.openxmlformats.org/officeDocument/2006/relationships/hyperlink" Target="https://www.linkedin.com/learning/asserting-yourself-an-empowered-choice" TargetMode="External"/><Relationship Id="rId597" Type="http://schemas.openxmlformats.org/officeDocument/2006/relationships/hyperlink" Target="https://www.linkedin.com/learning/developing-a-service-mindset" TargetMode="External"/><Relationship Id="rId152" Type="http://schemas.openxmlformats.org/officeDocument/2006/relationships/hyperlink" Target="https://www.linkedin.com/learning/leading-remote-projects-and-virtual-teams" TargetMode="External"/><Relationship Id="rId457" Type="http://schemas.openxmlformats.org/officeDocument/2006/relationships/hyperlink" Target="https://www.linkedin.com/learning/email-marketing-strategy-and-optimization" TargetMode="External"/><Relationship Id="rId1087" Type="http://schemas.openxmlformats.org/officeDocument/2006/relationships/hyperlink" Target="https://www.linkedin.com/learning/what-s-next-reinventing-work-in-the-new-normal" TargetMode="External"/><Relationship Id="rId1294" Type="http://schemas.openxmlformats.org/officeDocument/2006/relationships/hyperlink" Target="https://www.linkedin.com/learning/powerpoint-2019-essential-training" TargetMode="External"/><Relationship Id="rId664" Type="http://schemas.openxmlformats.org/officeDocument/2006/relationships/hyperlink" Target="https://www.linkedin.com/learning/business-analytics-sales-data" TargetMode="External"/><Relationship Id="rId871" Type="http://schemas.openxmlformats.org/officeDocument/2006/relationships/hyperlink" Target="https://www.linkedin.com/learning/hiring-contract-employees" TargetMode="External"/><Relationship Id="rId969" Type="http://schemas.openxmlformats.org/officeDocument/2006/relationships/hyperlink" Target="https://www.linkedin.com/learning/network-virtualization-sdn-overlay-solutions" TargetMode="External"/><Relationship Id="rId1599" Type="http://schemas.openxmlformats.org/officeDocument/2006/relationships/hyperlink" Target="https://www.linkedin.com/learning/women-transforming-tech-building-your-brand/build-your-story" TargetMode="External"/><Relationship Id="rId317" Type="http://schemas.openxmlformats.org/officeDocument/2006/relationships/hyperlink" Target="https://www.linkedin.com/learning/leading-from-the-middle" TargetMode="External"/><Relationship Id="rId524" Type="http://schemas.openxmlformats.org/officeDocument/2006/relationships/hyperlink" Target="https://www.linkedin.com/learning/the-undercover-economist-the-economics-behind-everyday-decisions-blinkist-summary" TargetMode="External"/><Relationship Id="rId731" Type="http://schemas.openxmlformats.org/officeDocument/2006/relationships/hyperlink" Target="https://www.linkedin.com/learning/how-to-turn-your-entrepreneur-journey-into-a-successful-keynote-talk" TargetMode="External"/><Relationship Id="rId1154" Type="http://schemas.openxmlformats.org/officeDocument/2006/relationships/hyperlink" Target="https://www.linkedin.com/learning/configure-and-manage-workload-integrations" TargetMode="External"/><Relationship Id="rId1361" Type="http://schemas.openxmlformats.org/officeDocument/2006/relationships/hyperlink" Target="https://www.linkedin.com/learning/linkedin-learning-highlights-project-management" TargetMode="External"/><Relationship Id="rId1459" Type="http://schemas.openxmlformats.org/officeDocument/2006/relationships/hyperlink" Target="https://www.linkedin.com/learning/business-development-foundations" TargetMode="External"/><Relationship Id="rId98" Type="http://schemas.openxmlformats.org/officeDocument/2006/relationships/hyperlink" Target="https://www.linkedin.com/learning/managing-stress-2019" TargetMode="External"/><Relationship Id="rId829" Type="http://schemas.openxmlformats.org/officeDocument/2006/relationships/hyperlink" Target="https://www.linkedin.com/learning/privacy-in-the-age-of-covid-19" TargetMode="External"/><Relationship Id="rId1014" Type="http://schemas.openxmlformats.org/officeDocument/2006/relationships/hyperlink" Target="https://www.linkedin.com/learning/body-language-for-leaders-2019" TargetMode="External"/><Relationship Id="rId1221" Type="http://schemas.openxmlformats.org/officeDocument/2006/relationships/hyperlink" Target="https://www.linkedin.com/learning/supply-chain-foundations" TargetMode="External"/><Relationship Id="rId1666" Type="http://schemas.openxmlformats.org/officeDocument/2006/relationships/hyperlink" Target="https://www.linkedin.com/learning/writing-in-plain-language" TargetMode="External"/><Relationship Id="rId1319" Type="http://schemas.openxmlformats.org/officeDocument/2006/relationships/hyperlink" Target="https://www.linkedin.com/learning/workshop-facilitation" TargetMode="External"/><Relationship Id="rId1526" Type="http://schemas.openxmlformats.org/officeDocument/2006/relationships/hyperlink" Target="https://www.linkedin.com/learning/coaching-employees-through-difficult-situations" TargetMode="External"/><Relationship Id="rId1733" Type="http://schemas.openxmlformats.org/officeDocument/2006/relationships/hyperlink" Target="https://www.linkedin.com/learning/the-leader-s-guide-to-mindfulness-getabstract-summary" TargetMode="External"/><Relationship Id="rId25" Type="http://schemas.openxmlformats.org/officeDocument/2006/relationships/hyperlink" Target="https://www.linkedin.com/learning/time-management-fundamentals/welcome" TargetMode="External"/><Relationship Id="rId174" Type="http://schemas.openxmlformats.org/officeDocument/2006/relationships/hyperlink" Target="https://www.linkedin.com/learning/managing-a-cross-functional-team" TargetMode="External"/><Relationship Id="rId381" Type="http://schemas.openxmlformats.org/officeDocument/2006/relationships/hyperlink" Target="https://www.linkedin.com/learning/marketing-on-linkedin-the-sophisticated-marketer-s-guide" TargetMode="External"/><Relationship Id="rId241" Type="http://schemas.openxmlformats.org/officeDocument/2006/relationships/hyperlink" Target="https://www.linkedin.com/learning/grit-how-teams-persevere-to-accomplish-great-goals" TargetMode="External"/><Relationship Id="rId479" Type="http://schemas.openxmlformats.org/officeDocument/2006/relationships/hyperlink" Target="https://www.linkedin.com/learning/paths/develop-your-creative-thinking-and-innovation-skills" TargetMode="External"/><Relationship Id="rId686" Type="http://schemas.openxmlformats.org/officeDocument/2006/relationships/hyperlink" Target="https://www.linkedin.com/learning/15-mistakes-to-avoid-in-data-science" TargetMode="External"/><Relationship Id="rId893" Type="http://schemas.openxmlformats.org/officeDocument/2006/relationships/hyperlink" Target="https://www.linkedin.com/learning/adobe-captivate-advanced-actions" TargetMode="External"/><Relationship Id="rId339" Type="http://schemas.openxmlformats.org/officeDocument/2006/relationships/hyperlink" Target="https://www.linkedin.com/learning/managing-conflict-a-practical-guide-to-resolution-in-the-workplace-getabstract-summary" TargetMode="External"/><Relationship Id="rId546" Type="http://schemas.openxmlformats.org/officeDocument/2006/relationships/hyperlink" Target="https://www.linkedin.com/learning/successful-goal-setting" TargetMode="External"/><Relationship Id="rId753" Type="http://schemas.openxmlformats.org/officeDocument/2006/relationships/hyperlink" Target="https://www.linkedin.com/learning/adobe-captivate-advanced-actions" TargetMode="External"/><Relationship Id="rId1176" Type="http://schemas.openxmlformats.org/officeDocument/2006/relationships/hyperlink" Target="https://www.linkedin.com/learning/decision-making-strategies-for-optimal-team-performance-a-primer-for-team-leaders" TargetMode="External"/><Relationship Id="rId1383" Type="http://schemas.openxmlformats.org/officeDocument/2006/relationships/hyperlink" Target="https://www.linkedin.com/learning/selling-to-the-c-suite" TargetMode="External"/><Relationship Id="rId101" Type="http://schemas.openxmlformats.org/officeDocument/2006/relationships/hyperlink" Target="https://www.linkedin.com/learning/get-unstuck-from-a-career-rut" TargetMode="External"/><Relationship Id="rId406" Type="http://schemas.openxmlformats.org/officeDocument/2006/relationships/hyperlink" Target="https://www.linkedin.com/learning/marketing-tools-digital-marketing-revision-2020" TargetMode="External"/><Relationship Id="rId960" Type="http://schemas.openxmlformats.org/officeDocument/2006/relationships/hyperlink" Target="https://www.linkedin.com/learning/api-testing-foundations" TargetMode="External"/><Relationship Id="rId1036" Type="http://schemas.openxmlformats.org/officeDocument/2006/relationships/hyperlink" Target="https://www.linkedin.com/learning/how-to-innovate-and-stay-relevant-in-times-of-change-and-uncertainty-uk" TargetMode="External"/><Relationship Id="rId1243" Type="http://schemas.openxmlformats.org/officeDocument/2006/relationships/hyperlink" Target="https://www.linkedin.com/learning/business-process-improvement" TargetMode="External"/><Relationship Id="rId1590" Type="http://schemas.openxmlformats.org/officeDocument/2006/relationships/hyperlink" Target="https://www.linkedin.com/learning/diversity-and-inclusion-in-a-global-enterprise" TargetMode="External"/><Relationship Id="rId1688" Type="http://schemas.openxmlformats.org/officeDocument/2006/relationships/hyperlink" Target="https://www.linkedin.com/learning/paths/remote-working-setting-yourself-and-your-teams-up-for-success?u=104" TargetMode="External"/><Relationship Id="rId613" Type="http://schemas.openxmlformats.org/officeDocument/2006/relationships/hyperlink" Target="https://www.linkedin.com/learning/using-customer-surveys-to-improve-service" TargetMode="External"/><Relationship Id="rId820" Type="http://schemas.openxmlformats.org/officeDocument/2006/relationships/hyperlink" Target="https://www.linkedin.com/learning/human-resources-strategic-workforce-planning" TargetMode="External"/><Relationship Id="rId918" Type="http://schemas.openxmlformats.org/officeDocument/2006/relationships/hyperlink" Target="https://www.linkedin.com/learning/managing-globally/what-is-cultural-agility" TargetMode="External"/><Relationship Id="rId1450" Type="http://schemas.openxmlformats.org/officeDocument/2006/relationships/hyperlink" Target="https://www.linkedin.com/learning/thinking-in-new-boxes-a-new-paradigm-for-business-creativity" TargetMode="External"/><Relationship Id="rId1548" Type="http://schemas.openxmlformats.org/officeDocument/2006/relationships/hyperlink" Target="https://www.linkedin.com/learning/delegating-tasks" TargetMode="External"/><Relationship Id="rId1755" Type="http://schemas.openxmlformats.org/officeDocument/2006/relationships/hyperlink" Target="https://www.linkedin.com/learning/managing-depression-in-the-workplace" TargetMode="External"/><Relationship Id="rId1103" Type="http://schemas.openxmlformats.org/officeDocument/2006/relationships/hyperlink" Target="https://www.linkedin.com/learning/executive-leadership/communicate-to-motivate-and-inspire" TargetMode="External"/><Relationship Id="rId1310" Type="http://schemas.openxmlformats.org/officeDocument/2006/relationships/hyperlink" Target="https://www.linkedin.com/learning/data-driven-presentations-with-excel-and-powerpoint-365-2019" TargetMode="External"/><Relationship Id="rId1408" Type="http://schemas.openxmlformats.org/officeDocument/2006/relationships/hyperlink" Target="https://www.linkedin.com/learning/flip-the-script-a-toolkit-for-sellers-and-negotiators-blinkist-summary" TargetMode="External"/><Relationship Id="rId47" Type="http://schemas.openxmlformats.org/officeDocument/2006/relationships/hyperlink" Target="https://www.linkedin.com/learning/dealing-with-disappointment-in-your-role" TargetMode="External"/><Relationship Id="rId1615" Type="http://schemas.openxmlformats.org/officeDocument/2006/relationships/hyperlink" Target="https://www.linkedin.com/learning/preparing-to-lead-developing-mental-toughness-in-yourself" TargetMode="External"/><Relationship Id="rId196" Type="http://schemas.openxmlformats.org/officeDocument/2006/relationships/hyperlink" Target="https://www.linkedin.com/learning/paths/building-trust-and-collaborating-with-others-2" TargetMode="External"/><Relationship Id="rId263" Type="http://schemas.openxmlformats.org/officeDocument/2006/relationships/hyperlink" Target="https://www.linkedin.com/learning/persuading-others" TargetMode="External"/><Relationship Id="rId470" Type="http://schemas.openxmlformats.org/officeDocument/2006/relationships/hyperlink" Target="https://www.linkedin.com/learning/17-questions-to-help-improve-your-marketing" TargetMode="External"/><Relationship Id="rId123" Type="http://schemas.openxmlformats.org/officeDocument/2006/relationships/hyperlink" Target="https://www.linkedin.com/learning/taking-charge-of-technology-for-maximum-productivity/creativity" TargetMode="External"/><Relationship Id="rId330" Type="http://schemas.openxmlformats.org/officeDocument/2006/relationships/hyperlink" Target="https://www.linkedin.com/learning/fred-kofman-on-managing-conflict" TargetMode="External"/><Relationship Id="rId568" Type="http://schemas.openxmlformats.org/officeDocument/2006/relationships/hyperlink" Target="https://www.linkedin.com/learning/customer-service-foundations-2" TargetMode="External"/><Relationship Id="rId775" Type="http://schemas.openxmlformats.org/officeDocument/2006/relationships/hyperlink" Target="https://www.linkedin.com/learning/understanding-capital-markets" TargetMode="External"/><Relationship Id="rId982" Type="http://schemas.openxmlformats.org/officeDocument/2006/relationships/hyperlink" Target="https://www.linkedin.com/learning/paths/digital-transformation-for-leaders" TargetMode="External"/><Relationship Id="rId1198" Type="http://schemas.openxmlformats.org/officeDocument/2006/relationships/hyperlink" Target="https://www.linkedin.com/learning/the-superbosses-playbook" TargetMode="External"/><Relationship Id="rId428" Type="http://schemas.openxmlformats.org/officeDocument/2006/relationships/hyperlink" Target="https://www.linkedin.com/learning/marketing-on-twitter,https:/www.linkedin.com/learning/marketing-on-twitter-2020" TargetMode="External"/><Relationship Id="rId635" Type="http://schemas.openxmlformats.org/officeDocument/2006/relationships/hyperlink" Target="https://www.linkedin.com/learning/power-bi-dashboards-for-beginners" TargetMode="External"/><Relationship Id="rId842" Type="http://schemas.openxmlformats.org/officeDocument/2006/relationships/hyperlink" Target="https://www.linkedin.com/learning/hr-guidelines-everyone-should-know" TargetMode="External"/><Relationship Id="rId1058" Type="http://schemas.openxmlformats.org/officeDocument/2006/relationships/hyperlink" Target="https://www.linkedin.com/learning/leading-with-stories" TargetMode="External"/><Relationship Id="rId1265" Type="http://schemas.openxmlformats.org/officeDocument/2006/relationships/hyperlink" Target="https://www.linkedin.com/learning/predictive-analytics-essential-training-for-executives" TargetMode="External"/><Relationship Id="rId1472" Type="http://schemas.openxmlformats.org/officeDocument/2006/relationships/hyperlink" Target="https://www.linkedin.com/learning/azure-for-architects-design-a-migration-strategy" TargetMode="External"/><Relationship Id="rId702" Type="http://schemas.openxmlformats.org/officeDocument/2006/relationships/hyperlink" Target="https://www.linkedin.com/learning/using-python-with-excel" TargetMode="External"/><Relationship Id="rId1125" Type="http://schemas.openxmlformats.org/officeDocument/2006/relationships/hyperlink" Target="https://www.linkedin.com/learning/leadership-mindsets" TargetMode="External"/><Relationship Id="rId1332" Type="http://schemas.openxmlformats.org/officeDocument/2006/relationships/hyperlink" Target="https://www.linkedin.com/learning/project-management-preventing-scope-creep-2/deal-with-it" TargetMode="External"/><Relationship Id="rId69" Type="http://schemas.openxmlformats.org/officeDocument/2006/relationships/hyperlink" Target="https://www.linkedin.com/learning/what-to-do-when-there-s-too-much-to-do-getabstract-summary" TargetMode="External"/><Relationship Id="rId1637" Type="http://schemas.openxmlformats.org/officeDocument/2006/relationships/hyperlink" Target="https://www.linkedin.com/learning/managing-someone-older-than-you/successfully-manage-an-older-report" TargetMode="External"/><Relationship Id="rId1704" Type="http://schemas.openxmlformats.org/officeDocument/2006/relationships/hyperlink" Target="https://www.linkedin.com/learning/breathing-exercises-for-mask-wearers" TargetMode="External"/><Relationship Id="rId285" Type="http://schemas.openxmlformats.org/officeDocument/2006/relationships/hyperlink" Target="https://www.linkedin.com/learning/presenting-technical-information-with-stories" TargetMode="External"/><Relationship Id="rId492" Type="http://schemas.openxmlformats.org/officeDocument/2006/relationships/hyperlink" Target="https://www.linkedin.com/learning/design-thinking-implementing-the-process-revision-2021" TargetMode="External"/><Relationship Id="rId797" Type="http://schemas.openxmlformats.org/officeDocument/2006/relationships/hyperlink" Target="https://www.linkedin.com/learning/accounting-foundations-managerial-accounting" TargetMode="External"/><Relationship Id="rId145" Type="http://schemas.openxmlformats.org/officeDocument/2006/relationships/hyperlink" Target="https://www.linkedin.com/learning/culture-of-kaizen" TargetMode="External"/><Relationship Id="rId352" Type="http://schemas.openxmlformats.org/officeDocument/2006/relationships/hyperlink" Target="https://www.linkedin.com/learning/having-difficult-conversations-a-guide-for-managers" TargetMode="External"/><Relationship Id="rId1287" Type="http://schemas.openxmlformats.org/officeDocument/2006/relationships/hyperlink" Target="https://www.linkedin.com/learning/how-to-turn-your-entrepreneur-journey-into-a-successful-keynote-talk" TargetMode="External"/><Relationship Id="rId212" Type="http://schemas.openxmlformats.org/officeDocument/2006/relationships/hyperlink" Target="https://www.linkedin.com/learning/supporting-a-grieving-employee-a-manager-s-guide" TargetMode="External"/><Relationship Id="rId657" Type="http://schemas.openxmlformats.org/officeDocument/2006/relationships/hyperlink" Target="https://www.linkedin.com/learning/studying-for-the-certified-business-analysis-professional-cbap" TargetMode="External"/><Relationship Id="rId864" Type="http://schemas.openxmlformats.org/officeDocument/2006/relationships/hyperlink" Target="https://www.linkedin.com/learning/building-a-talent-pipeline-from-new-recruits-to-leadership" TargetMode="External"/><Relationship Id="rId1494" Type="http://schemas.openxmlformats.org/officeDocument/2006/relationships/hyperlink" Target="https://www.linkedin.com/learning/executive-coaching" TargetMode="External"/><Relationship Id="rId517" Type="http://schemas.openxmlformats.org/officeDocument/2006/relationships/hyperlink" Target="https://www.linkedin.com/learning/psychological-safety-clear-blocks-to-innovation-collaboration-and-risk-taking" TargetMode="External"/><Relationship Id="rId724" Type="http://schemas.openxmlformats.org/officeDocument/2006/relationships/hyperlink" Target="https://www.linkedin.com/learning/creating-fun-and-engaging-video-training-the-how" TargetMode="External"/><Relationship Id="rId931" Type="http://schemas.openxmlformats.org/officeDocument/2006/relationships/hyperlink" Target="https://www.linkedin.com/learning/getting-started-with-live-streaming" TargetMode="External"/><Relationship Id="rId1147" Type="http://schemas.openxmlformats.org/officeDocument/2006/relationships/hyperlink" Target="https://www.linkedin.com/learning/talent-management/what-you-should-know-before-watching-this-course" TargetMode="External"/><Relationship Id="rId1354" Type="http://schemas.openxmlformats.org/officeDocument/2006/relationships/hyperlink" Target="https://www.linkedin.com/learning/managing-project-stakeholders-2019" TargetMode="External"/><Relationship Id="rId1561" Type="http://schemas.openxmlformats.org/officeDocument/2006/relationships/hyperlink" Target="https://www.linkedin.com/learning/motivating-and-engaging-employees-2" TargetMode="External"/><Relationship Id="rId60" Type="http://schemas.openxmlformats.org/officeDocument/2006/relationships/hyperlink" Target="https://www.linkedin.com/learning/building-resilience-as-a-leader" TargetMode="External"/><Relationship Id="rId1007" Type="http://schemas.openxmlformats.org/officeDocument/2006/relationships/hyperlink" Target="https://www.linkedin.com/learning/building-change-capability-for-managers" TargetMode="External"/><Relationship Id="rId1214" Type="http://schemas.openxmlformats.org/officeDocument/2006/relationships/hyperlink" Target="https://www.linkedin.com/learning/job-skills-supply-chain-and-operations" TargetMode="External"/><Relationship Id="rId1421" Type="http://schemas.openxmlformats.org/officeDocument/2006/relationships/hyperlink" Target="https://www.linkedin.com/learning/leading-with-vision" TargetMode="External"/><Relationship Id="rId1659" Type="http://schemas.openxmlformats.org/officeDocument/2006/relationships/hyperlink" Target="https://www.linkedin.com/learning/writing-a-marketing-plan-2020" TargetMode="External"/><Relationship Id="rId1519" Type="http://schemas.openxmlformats.org/officeDocument/2006/relationships/hyperlink" Target="https://www.linkedin.com/learning/how-to-succeed-in-a-case-study-interview" TargetMode="External"/><Relationship Id="rId1726" Type="http://schemas.openxmlformats.org/officeDocument/2006/relationships/hyperlink" Target="https://www.linkedin.com/learning/managing-stress-for-positive-change" TargetMode="External"/><Relationship Id="rId18" Type="http://schemas.openxmlformats.org/officeDocument/2006/relationships/hyperlink" Target="https://www.linkedin.com/learning/learning-agility" TargetMode="External"/><Relationship Id="rId167" Type="http://schemas.openxmlformats.org/officeDocument/2006/relationships/hyperlink" Target="https://www.linkedin.com/learning/managing-remote-teams-setting-expectations-behaviors-and-habits" TargetMode="External"/><Relationship Id="rId374" Type="http://schemas.openxmlformats.org/officeDocument/2006/relationships/hyperlink" Target="https://www.linkedin.com/learning/marketing-tips-2" TargetMode="External"/><Relationship Id="rId581" Type="http://schemas.openxmlformats.org/officeDocument/2006/relationships/hyperlink" Target="https://www.linkedin.com/learning/customer-success-management-fundamentals" TargetMode="External"/><Relationship Id="rId234" Type="http://schemas.openxmlformats.org/officeDocument/2006/relationships/hyperlink" Target="https://www.linkedin.com/learning/how-to-develop-friendships-and-connect-meaningfully-with-work-colleagues" TargetMode="External"/><Relationship Id="rId679" Type="http://schemas.openxmlformats.org/officeDocument/2006/relationships/hyperlink" Target="https://www.linkedin.com/learning/business-analytics-foundations-predictive-prescriptive-and-experimental-analytics" TargetMode="External"/><Relationship Id="rId886" Type="http://schemas.openxmlformats.org/officeDocument/2006/relationships/hyperlink" Target="https://www.linkedin.com/learning/success-metrics-in-your-l-d-program" TargetMode="External"/><Relationship Id="rId2" Type="http://schemas.openxmlformats.org/officeDocument/2006/relationships/hyperlink" Target="https://www.linkedin.com/learning/paths/improve-your-organizational-skills" TargetMode="External"/><Relationship Id="rId441" Type="http://schemas.openxmlformats.org/officeDocument/2006/relationships/hyperlink" Target="https://www.linkedin.com/learning/the-22-immutable-laws-of-branding-blinkist-summary" TargetMode="External"/><Relationship Id="rId539" Type="http://schemas.openxmlformats.org/officeDocument/2006/relationships/hyperlink" Target="https://www.linkedin.com/learning/monday-productivity-pointers" TargetMode="External"/><Relationship Id="rId746" Type="http://schemas.openxmlformats.org/officeDocument/2006/relationships/hyperlink" Target="https://www.linkedin.com/learning/articulate-360-advanced-actions-2020" TargetMode="External"/><Relationship Id="rId1071" Type="http://schemas.openxmlformats.org/officeDocument/2006/relationships/hyperlink" Target="https://www.linkedin.com/learning/work-on-purpose" TargetMode="External"/><Relationship Id="rId1169" Type="http://schemas.openxmlformats.org/officeDocument/2006/relationships/hyperlink" Target="https://www.linkedin.com/learning/managing-generation-z" TargetMode="External"/><Relationship Id="rId1376" Type="http://schemas.openxmlformats.org/officeDocument/2006/relationships/hyperlink" Target="https://www.linkedin.com/learning/the-top-pmo-challenges" TargetMode="External"/><Relationship Id="rId1583" Type="http://schemas.openxmlformats.org/officeDocument/2006/relationships/hyperlink" Target="https://www.linkedin.com/learning/confronting-racism-with-robin-diangelo" TargetMode="External"/><Relationship Id="rId301" Type="http://schemas.openxmlformats.org/officeDocument/2006/relationships/hyperlink" Target="https://www.linkedin.com/learning/building-relationships-while-working-from-home" TargetMode="External"/><Relationship Id="rId953" Type="http://schemas.openxmlformats.org/officeDocument/2006/relationships/hyperlink" Target="https://www.linkedin.com/learning/applied-ai-for-it-operations" TargetMode="External"/><Relationship Id="rId1029" Type="http://schemas.openxmlformats.org/officeDocument/2006/relationships/hyperlink" Target="https://www.linkedin.com/learning/managing-organizational-change-for-managers" TargetMode="External"/><Relationship Id="rId1236" Type="http://schemas.openxmlformats.org/officeDocument/2006/relationships/hyperlink" Target="https://www.linkedin.com/learning/design-thinking-implementing-the-process-revision-2021" TargetMode="External"/><Relationship Id="rId82" Type="http://schemas.openxmlformats.org/officeDocument/2006/relationships/hyperlink" Target="https://www.linkedin.com/learning/insights-on-working-from-home-s-largest-ever-experiment" TargetMode="External"/><Relationship Id="rId606" Type="http://schemas.openxmlformats.org/officeDocument/2006/relationships/hyperlink" Target="https://www.linkedin.com/learning/customer-service-preventing-turnover" TargetMode="External"/><Relationship Id="rId813" Type="http://schemas.openxmlformats.org/officeDocument/2006/relationships/hyperlink" Target="https://www.linkedin.com/learning/accounting-foundations-cost-based-pricing-strategies" TargetMode="External"/><Relationship Id="rId1443" Type="http://schemas.openxmlformats.org/officeDocument/2006/relationships/hyperlink" Target="https://www.linkedin.com/learning/goal-setting-objectives-and-key-results-okrs" TargetMode="External"/><Relationship Id="rId1650" Type="http://schemas.openxmlformats.org/officeDocument/2006/relationships/hyperlink" Target="https://www.linkedin.com/learning/learning-to-write-for-the-web" TargetMode="External"/><Relationship Id="rId1748" Type="http://schemas.openxmlformats.org/officeDocument/2006/relationships/hyperlink" Target="https://www.linkedin.com/learning/the-internet-trap-five-costs-of-living-online-getabstract-summary" TargetMode="External"/><Relationship Id="rId1303" Type="http://schemas.openxmlformats.org/officeDocument/2006/relationships/hyperlink" Target="https://www.linkedin.com/learning/how-to-own-a-room" TargetMode="External"/><Relationship Id="rId1510" Type="http://schemas.openxmlformats.org/officeDocument/2006/relationships/hyperlink" Target="https://www.linkedin.com/learning/improving-employee-performance" TargetMode="External"/><Relationship Id="rId1608" Type="http://schemas.openxmlformats.org/officeDocument/2006/relationships/hyperlink" Target="https://www.linkedin.com/learning/empathy-in-business-design-for-success,https:/www.linkedin.com/learning/empathy-in-design" TargetMode="External"/><Relationship Id="rId189" Type="http://schemas.openxmlformats.org/officeDocument/2006/relationships/hyperlink" Target="https://www.linkedin.com/learning/cross-functional-sales-teams" TargetMode="External"/><Relationship Id="rId396" Type="http://schemas.openxmlformats.org/officeDocument/2006/relationships/hyperlink" Target="https://www.linkedin.com/learning/marketing-foundations-2019" TargetMode="External"/><Relationship Id="rId256" Type="http://schemas.openxmlformats.org/officeDocument/2006/relationships/hyperlink" Target="https://www.linkedin.com/learning/influencing-others" TargetMode="External"/><Relationship Id="rId463" Type="http://schemas.openxmlformats.org/officeDocument/2006/relationships/hyperlink" Target="https://www.linkedin.com/learning/social-media-marketing-optimization-2019" TargetMode="External"/><Relationship Id="rId670" Type="http://schemas.openxmlformats.org/officeDocument/2006/relationships/hyperlink" Target="https://www.linkedin.com/learning/the-non-technical-skills-of-effective-data-scientists" TargetMode="External"/><Relationship Id="rId1093" Type="http://schemas.openxmlformats.org/officeDocument/2006/relationships/hyperlink" Target="https://www.linkedin.com/learning/a-manager-s-toolkit-for-supporting-change" TargetMode="External"/><Relationship Id="rId116" Type="http://schemas.openxmlformats.org/officeDocument/2006/relationships/hyperlink" Target="https://www.linkedin.com/learning/balancing-work-and-life-as-a-work-from-home-parent" TargetMode="External"/><Relationship Id="rId323" Type="http://schemas.openxmlformats.org/officeDocument/2006/relationships/hyperlink" Target="https://www.linkedin.com/learning/de-escalating-intense-situations" TargetMode="External"/><Relationship Id="rId530" Type="http://schemas.openxmlformats.org/officeDocument/2006/relationships/hyperlink" Target="https://www.linkedin.com/learning/decision-making-strategies" TargetMode="External"/><Relationship Id="rId768" Type="http://schemas.openxmlformats.org/officeDocument/2006/relationships/hyperlink" Target="https://www.linkedin.com/learning/finance-foundations-2/the-essence-of-finance?" TargetMode="External"/><Relationship Id="rId975" Type="http://schemas.openxmlformats.org/officeDocument/2006/relationships/hyperlink" Target="https://www.linkedin.com/learning/deep-learning-image-recognition" TargetMode="External"/><Relationship Id="rId1160" Type="http://schemas.openxmlformats.org/officeDocument/2006/relationships/hyperlink" Target="https://www.linkedin.com/learning/goal-setting-objectives-and-key-results-okrs" TargetMode="External"/><Relationship Id="rId1398" Type="http://schemas.openxmlformats.org/officeDocument/2006/relationships/hyperlink" Target="https://www.linkedin.com/learning/business-fundamentals-for-customer-success-managers" TargetMode="External"/><Relationship Id="rId628" Type="http://schemas.openxmlformats.org/officeDocument/2006/relationships/hyperlink" Target="https://www.linkedin.com/learning/data-driven-learning-design" TargetMode="External"/><Relationship Id="rId835" Type="http://schemas.openxmlformats.org/officeDocument/2006/relationships/hyperlink" Target="https://www.linkedin.com/learning/teaching-civility-in-the-workplace" TargetMode="External"/><Relationship Id="rId1258" Type="http://schemas.openxmlformats.org/officeDocument/2006/relationships/hyperlink" Target="https://www.linkedin.com/learning/six-sigma-green-belt" TargetMode="External"/><Relationship Id="rId1465" Type="http://schemas.openxmlformats.org/officeDocument/2006/relationships/hyperlink" Target="https://www.linkedin.com/learning/setting-business-unit-goals/welcome" TargetMode="External"/><Relationship Id="rId1672" Type="http://schemas.openxmlformats.org/officeDocument/2006/relationships/hyperlink" Target="https://www.linkedin.com/learning/writing-a-compelling-blog-post" TargetMode="External"/><Relationship Id="rId1020" Type="http://schemas.openxmlformats.org/officeDocument/2006/relationships/hyperlink" Target="https://www.linkedin.com/learning/leading-and-managing-the-whole-self" TargetMode="External"/><Relationship Id="rId1118" Type="http://schemas.openxmlformats.org/officeDocument/2006/relationships/hyperlink" Target="https://www.linkedin.com/learning/business-ethics-for-managers-and-leaders-2019" TargetMode="External"/><Relationship Id="rId1325" Type="http://schemas.openxmlformats.org/officeDocument/2006/relationships/hyperlink" Target="https://www.linkedin.com/learning/becoming-an-agile-coach" TargetMode="External"/><Relationship Id="rId1532" Type="http://schemas.openxmlformats.org/officeDocument/2006/relationships/hyperlink" Target="https://www.linkedin.com/learning/managing-employee-performance-problems-3" TargetMode="External"/><Relationship Id="rId902" Type="http://schemas.openxmlformats.org/officeDocument/2006/relationships/hyperlink" Target="https://www.linkedin.com/learning/advanced-nlp-with-python-for-machine-learning" TargetMode="External"/><Relationship Id="rId31" Type="http://schemas.openxmlformats.org/officeDocument/2006/relationships/hyperlink" Target="https://www.linkedin.com/learning/productivity-tips-using-technology-2020" TargetMode="External"/><Relationship Id="rId180" Type="http://schemas.openxmlformats.org/officeDocument/2006/relationships/hyperlink" Target="https://www.linkedin.com/learning/managing-for-better-ideas" TargetMode="External"/><Relationship Id="rId278" Type="http://schemas.openxmlformats.org/officeDocument/2006/relationships/hyperlink" Target="https://www.linkedin.com/learning/key-psychological-principles-for-ethical-persuasion" TargetMode="External"/><Relationship Id="rId485" Type="http://schemas.openxmlformats.org/officeDocument/2006/relationships/hyperlink" Target="https://www.linkedin.com/learning/building-a-creative-online-community" TargetMode="External"/><Relationship Id="rId692" Type="http://schemas.openxmlformats.org/officeDocument/2006/relationships/hyperlink" Target="https://www.linkedin.com/learning/financial-analysis-making-business-projections" TargetMode="External"/><Relationship Id="rId138" Type="http://schemas.openxmlformats.org/officeDocument/2006/relationships/hyperlink" Target="https://www.linkedin.com/learning/paths/build-and-manage-effective-teams" TargetMode="External"/><Relationship Id="rId345" Type="http://schemas.openxmlformats.org/officeDocument/2006/relationships/hyperlink" Target="https://www.linkedin.com/learning/communicating-in-times-of-change/welcome" TargetMode="External"/><Relationship Id="rId552" Type="http://schemas.openxmlformats.org/officeDocument/2006/relationships/hyperlink" Target="https://www.linkedin.com/learning/improving-your-thinking" TargetMode="External"/><Relationship Id="rId997" Type="http://schemas.openxmlformats.org/officeDocument/2006/relationships/hyperlink" Target="https://www.linkedin.com/learning/women-transforming-tech-negotiation" TargetMode="External"/><Relationship Id="rId1182" Type="http://schemas.openxmlformats.org/officeDocument/2006/relationships/hyperlink" Target="https://www.linkedin.com/learning/employee-experience" TargetMode="External"/><Relationship Id="rId205" Type="http://schemas.openxmlformats.org/officeDocument/2006/relationships/hyperlink" Target="https://www.linkedin.com/learning/working-on-a-cross-functional-team/welcome" TargetMode="External"/><Relationship Id="rId412" Type="http://schemas.openxmlformats.org/officeDocument/2006/relationships/hyperlink" Target="https://www.linkedin.com/learning/marketing-analytics-setting-and-measuring-kpis-2020" TargetMode="External"/><Relationship Id="rId857" Type="http://schemas.openxmlformats.org/officeDocument/2006/relationships/hyperlink" Target="https://www.linkedin.com/learning/adding-value-through-diversity" TargetMode="External"/><Relationship Id="rId1042" Type="http://schemas.openxmlformats.org/officeDocument/2006/relationships/hyperlink" Target="https://www.linkedin.com/learning/strategic-mentoring" TargetMode="External"/><Relationship Id="rId1487" Type="http://schemas.openxmlformats.org/officeDocument/2006/relationships/hyperlink" Target="https://www.linkedin.com/learning/setting-team-and-employee-goals" TargetMode="External"/><Relationship Id="rId1694" Type="http://schemas.openxmlformats.org/officeDocument/2006/relationships/hyperlink" Target="https://www.linkedin.com/learning/leading-with-fearless-mindfulness" TargetMode="External"/><Relationship Id="rId717" Type="http://schemas.openxmlformats.org/officeDocument/2006/relationships/hyperlink" Target="https://www.linkedin.com/learning/paths/develop-your-course-design-and-instructional-skills" TargetMode="External"/><Relationship Id="rId924" Type="http://schemas.openxmlformats.org/officeDocument/2006/relationships/hyperlink" Target="https://www.linkedin.com/learning/learning-powerapps-2019" TargetMode="External"/><Relationship Id="rId1347" Type="http://schemas.openxmlformats.org/officeDocument/2006/relationships/hyperlink" Target="https://www.linkedin.com/learning/introducing-the-pmbok-guide-seventh-edition" TargetMode="External"/><Relationship Id="rId1554" Type="http://schemas.openxmlformats.org/officeDocument/2006/relationships/hyperlink" Target="https://www.linkedin.com/learning/setting-team-and-employee-goals" TargetMode="External"/><Relationship Id="rId1761" Type="http://schemas.openxmlformats.org/officeDocument/2006/relationships/hyperlink" Target="https://www.linkedin.com/learning/the-culture-code-blinkist" TargetMode="External"/><Relationship Id="rId53" Type="http://schemas.openxmlformats.org/officeDocument/2006/relationships/hyperlink" Target="https://www.linkedin.com/learning/how-to-organize-your-time-and-your-life" TargetMode="External"/><Relationship Id="rId1207" Type="http://schemas.openxmlformats.org/officeDocument/2006/relationships/hyperlink" Target="https://www.linkedin.com/learning/paths/becoming-a-six-sigma-green-belt" TargetMode="External"/><Relationship Id="rId1414" Type="http://schemas.openxmlformats.org/officeDocument/2006/relationships/hyperlink" Target="https://www.linkedin.com/learning/business-development-strategic-planning" TargetMode="External"/><Relationship Id="rId1621" Type="http://schemas.openxmlformats.org/officeDocument/2006/relationships/hyperlink" Target="https://www.linkedin.com/learning/fighting-gender-bias-at-work" TargetMode="External"/><Relationship Id="rId1719" Type="http://schemas.openxmlformats.org/officeDocument/2006/relationships/hyperlink" Target="https://www.linkedin.com/learning/developing-self-awareness" TargetMode="External"/><Relationship Id="rId367" Type="http://schemas.openxmlformats.org/officeDocument/2006/relationships/hyperlink" Target="https://www.linkedin.com/learning/digital-marketing-trends" TargetMode="External"/><Relationship Id="rId574" Type="http://schemas.openxmlformats.org/officeDocument/2006/relationships/hyperlink" Target="https://www.linkedin.com/learning/thomas-a-stewart-and-patricia-o-connell-on-designing-and-delivering-great-customer-experience" TargetMode="External"/><Relationship Id="rId227" Type="http://schemas.openxmlformats.org/officeDocument/2006/relationships/hyperlink" Target="https://www.linkedin.com/learning/the-language-of-inclusion-skills-for-inclusive-conversations" TargetMode="External"/><Relationship Id="rId781" Type="http://schemas.openxmlformats.org/officeDocument/2006/relationships/hyperlink" Target="https://www.linkedin.com/learning/analyzing-a-real-estate-deal" TargetMode="External"/><Relationship Id="rId879" Type="http://schemas.openxmlformats.org/officeDocument/2006/relationships/hyperlink" Target="https://www.linkedin.com/learning/human-resources-using-metrics-to-drive-hr-strategy" TargetMode="External"/><Relationship Id="rId434" Type="http://schemas.openxmlformats.org/officeDocument/2006/relationships/hyperlink" Target="https://www.linkedin.com/learning/social-media-marketing-with-facebook-and-twitter-2" TargetMode="External"/><Relationship Id="rId641" Type="http://schemas.openxmlformats.org/officeDocument/2006/relationships/hyperlink" Target="https://www.linkedin.com/learning/business-analysis-foundations-competencies" TargetMode="External"/><Relationship Id="rId739" Type="http://schemas.openxmlformats.org/officeDocument/2006/relationships/hyperlink" Target="https://www.linkedin.com/learning/storytraining-selecting-and-shaping-stories-that-connect-getabstract-summary" TargetMode="External"/><Relationship Id="rId1064" Type="http://schemas.openxmlformats.org/officeDocument/2006/relationships/hyperlink" Target="https://www.linkedin.com/learning/leadership-foundations-the-basics-2019" TargetMode="External"/><Relationship Id="rId1271" Type="http://schemas.openxmlformats.org/officeDocument/2006/relationships/hyperlink" Target="https://www.linkedin.com/learning/paths/improve-your-presentation-skills" TargetMode="External"/><Relationship Id="rId1369" Type="http://schemas.openxmlformats.org/officeDocument/2006/relationships/hyperlink" Target="https://www.linkedin.com/learning/exam-tips-certified-associate-in-project-management-capm" TargetMode="External"/><Relationship Id="rId1576" Type="http://schemas.openxmlformats.org/officeDocument/2006/relationships/hyperlink" Target="https://www.linkedin.com/learning/jeff-weiner-on-establishing-a-culture-and-a-plan-for-scaling" TargetMode="External"/><Relationship Id="rId501" Type="http://schemas.openxmlformats.org/officeDocument/2006/relationships/hyperlink" Target="https://www.linkedin.com/learning/21-day-creative-exercise-desk-challenge" TargetMode="External"/><Relationship Id="rId946" Type="http://schemas.openxmlformats.org/officeDocument/2006/relationships/hyperlink" Target="https://www.linkedin.com/learning/learning-sap-sd-sales-and-distribution" TargetMode="External"/><Relationship Id="rId1131" Type="http://schemas.openxmlformats.org/officeDocument/2006/relationships/hyperlink" Target="https://www.linkedin.com/learning/creating-a-high-performance-culture/components-of-high-performing-cultures" TargetMode="External"/><Relationship Id="rId1229" Type="http://schemas.openxmlformats.org/officeDocument/2006/relationships/hyperlink" Target="https://www.linkedin.com/learning/5s-workplace-productivity" TargetMode="External"/><Relationship Id="rId75" Type="http://schemas.openxmlformats.org/officeDocument/2006/relationships/hyperlink" Target="https://www.linkedin.com/learning/working-from-home-strategies-for-success" TargetMode="External"/><Relationship Id="rId806" Type="http://schemas.openxmlformats.org/officeDocument/2006/relationships/hyperlink" Target="https://www.linkedin.com/learning/using-the-time-value-of-money-to-make-financial-decisions" TargetMode="External"/><Relationship Id="rId1436" Type="http://schemas.openxmlformats.org/officeDocument/2006/relationships/hyperlink" Target="https://www.linkedin.com/learning/defining-and-segmenting-competition" TargetMode="External"/><Relationship Id="rId1643" Type="http://schemas.openxmlformats.org/officeDocument/2006/relationships/hyperlink" Target="https://www.linkedin.com/learning/managing-multiple-generations-2020" TargetMode="External"/><Relationship Id="rId1503" Type="http://schemas.openxmlformats.org/officeDocument/2006/relationships/hyperlink" Target="https://www.linkedin.com/learning/the-secrets-to-success-at-work-uk" TargetMode="External"/><Relationship Id="rId1710" Type="http://schemas.openxmlformats.org/officeDocument/2006/relationships/hyperlink" Target="https://www.linkedin.com/learning/anger-management" TargetMode="External"/><Relationship Id="rId291" Type="http://schemas.openxmlformats.org/officeDocument/2006/relationships/hyperlink" Target="https://www.linkedin.com/learning/starting-a-memorable-conversation" TargetMode="External"/><Relationship Id="rId151" Type="http://schemas.openxmlformats.org/officeDocument/2006/relationships/hyperlink" Target="https://www.linkedin.com/learning/creating-a-culture-of-learning-2020" TargetMode="External"/><Relationship Id="rId389" Type="http://schemas.openxmlformats.org/officeDocument/2006/relationships/hyperlink" Target="https://www.linkedin.com/learning/marketing-tools-social-media" TargetMode="External"/><Relationship Id="rId596" Type="http://schemas.openxmlformats.org/officeDocument/2006/relationships/hyperlink" Target="https://www.linkedin.com/learning/customer-service-serving-internal-customers" TargetMode="External"/><Relationship Id="rId249" Type="http://schemas.openxmlformats.org/officeDocument/2006/relationships/hyperlink" Target="https://www.linkedin.com/learning/paths/improve-your-teamwork-skills" TargetMode="External"/><Relationship Id="rId456" Type="http://schemas.openxmlformats.org/officeDocument/2006/relationships/hyperlink" Target="https://www.linkedin.com/learning/marketing-conversion-rate-optimization-revision-2020" TargetMode="External"/><Relationship Id="rId663" Type="http://schemas.openxmlformats.org/officeDocument/2006/relationships/hyperlink" Target="https://www.linkedin.com/learning/business-analytics-marketing-data" TargetMode="External"/><Relationship Id="rId870" Type="http://schemas.openxmlformats.org/officeDocument/2006/relationships/hyperlink" Target="https://www.linkedin.com/learning/hiring-a-recruiting-firm" TargetMode="External"/><Relationship Id="rId1086" Type="http://schemas.openxmlformats.org/officeDocument/2006/relationships/hyperlink" Target="https://www.linkedin.com/learning/leading-virtually-vulnerability-and-presence-in-wfh-times" TargetMode="External"/><Relationship Id="rId1293" Type="http://schemas.openxmlformats.org/officeDocument/2006/relationships/hyperlink" Target="https://www.linkedin.com/learning/powerpoint-2016-essential-training" TargetMode="External"/><Relationship Id="rId109" Type="http://schemas.openxmlformats.org/officeDocument/2006/relationships/hyperlink" Target="https://www.linkedin.com/learning/powerless-to-powerful-taking-control" TargetMode="External"/><Relationship Id="rId316" Type="http://schemas.openxmlformats.org/officeDocument/2006/relationships/hyperlink" Target="https://www.linkedin.com/learning/leading-with-kindness-and-strength" TargetMode="External"/><Relationship Id="rId523" Type="http://schemas.openxmlformats.org/officeDocument/2006/relationships/hyperlink" Target="https://www.linkedin.com/learning/privacy-in-the-age-of-covid-19" TargetMode="External"/><Relationship Id="rId968" Type="http://schemas.openxmlformats.org/officeDocument/2006/relationships/hyperlink" Target="https://www.linkedin.com/learning/configuration-manager-configure-and-maintain-a-management-infrastructure" TargetMode="External"/><Relationship Id="rId1153" Type="http://schemas.openxmlformats.org/officeDocument/2006/relationships/hyperlink" Target="https://www.linkedin.com/learning/culture-of-kaizen" TargetMode="External"/><Relationship Id="rId1598" Type="http://schemas.openxmlformats.org/officeDocument/2006/relationships/hyperlink" Target="https://www.linkedin.com/learning/proven-success-strategies-for-women-at-work/welcome" TargetMode="External"/><Relationship Id="rId97" Type="http://schemas.openxmlformats.org/officeDocument/2006/relationships/hyperlink" Target="https://www.linkedin.com/learning/unlock-your-team-s-creativity" TargetMode="External"/><Relationship Id="rId730" Type="http://schemas.openxmlformats.org/officeDocument/2006/relationships/hyperlink" Target="https://www.linkedin.com/learning/learning-moodle-3-9" TargetMode="External"/><Relationship Id="rId828" Type="http://schemas.openxmlformats.org/officeDocument/2006/relationships/hyperlink" Target="https://www.linkedin.com/learning/redefining-workplace-learning-analytics" TargetMode="External"/><Relationship Id="rId1013" Type="http://schemas.openxmlformats.org/officeDocument/2006/relationships/hyperlink" Target="https://www.linkedin.com/learning/emily-cohen-brutal-honesty-as-a-business-strategy" TargetMode="External"/><Relationship Id="rId1360" Type="http://schemas.openxmlformats.org/officeDocument/2006/relationships/hyperlink" Target="https://www.linkedin.com/learning/comparing-agile-vs-waterfall-project-management" TargetMode="External"/><Relationship Id="rId1458" Type="http://schemas.openxmlformats.org/officeDocument/2006/relationships/hyperlink" Target="https://www.linkedin.com/learning/assessing-and-improving-strategic-plans" TargetMode="External"/><Relationship Id="rId1665" Type="http://schemas.openxmlformats.org/officeDocument/2006/relationships/hyperlink" Target="https://www.linkedin.com/learning/writing-a-tech-resume" TargetMode="External"/><Relationship Id="rId1220" Type="http://schemas.openxmlformats.org/officeDocument/2006/relationships/hyperlink" Target="https://www.linkedin.com/learning/simplifying-business-processes" TargetMode="External"/><Relationship Id="rId1318" Type="http://schemas.openxmlformats.org/officeDocument/2006/relationships/hyperlink" Target="https://www.linkedin.com/learning/preparing-for-successful-communication/read-the-room" TargetMode="External"/><Relationship Id="rId1525" Type="http://schemas.openxmlformats.org/officeDocument/2006/relationships/hyperlink" Target="https://www.linkedin.com/learning/developing-adaptable-managers" TargetMode="External"/><Relationship Id="rId1732" Type="http://schemas.openxmlformats.org/officeDocument/2006/relationships/hyperlink" Target="https://www.linkedin.com/learning/arianna-huffington-s-thrive-01-discovering-meditation-and-sleep" TargetMode="External"/><Relationship Id="rId24" Type="http://schemas.openxmlformats.org/officeDocument/2006/relationships/hyperlink" Target="https://www.linkedin.com/learning/solving-business-problems" TargetMode="External"/><Relationship Id="rId173" Type="http://schemas.openxmlformats.org/officeDocument/2006/relationships/hyperlink" Target="https://www.linkedin.com/learning/leading-and-working-in-teams" TargetMode="External"/><Relationship Id="rId380" Type="http://schemas.openxmlformats.org/officeDocument/2006/relationships/hyperlink" Target="https://www.linkedin.com/learning/setting-a-marketing-budget" TargetMode="External"/><Relationship Id="rId240" Type="http://schemas.openxmlformats.org/officeDocument/2006/relationships/hyperlink" Target="https://www.linkedin.com/learning/inclusive-leadership" TargetMode="External"/><Relationship Id="rId478" Type="http://schemas.openxmlformats.org/officeDocument/2006/relationships/hyperlink" Target="https://www.linkedin.com/learning/jeff-dyer-on-innovation" TargetMode="External"/><Relationship Id="rId685" Type="http://schemas.openxmlformats.org/officeDocument/2006/relationships/hyperlink" Target="https://www.linkedin.com/learning/financial-analysis-analyzing-the-bottom-line-with-excel" TargetMode="External"/><Relationship Id="rId892" Type="http://schemas.openxmlformats.org/officeDocument/2006/relationships/hyperlink" Target="https://www.linkedin.com/learning/managing-misconduct-in-the-workplace-uk" TargetMode="External"/><Relationship Id="rId100" Type="http://schemas.openxmlformats.org/officeDocument/2006/relationships/hyperlink" Target="https://www.linkedin.com/learning/avoiding-burnout-2019" TargetMode="External"/><Relationship Id="rId338" Type="http://schemas.openxmlformats.org/officeDocument/2006/relationships/hyperlink" Target="https://www.linkedin.com/learning/effective-listening" TargetMode="External"/><Relationship Id="rId545" Type="http://schemas.openxmlformats.org/officeDocument/2006/relationships/hyperlink" Target="https://www.linkedin.com/learning/solving-business-problems" TargetMode="External"/><Relationship Id="rId752" Type="http://schemas.openxmlformats.org/officeDocument/2006/relationships/hyperlink" Target="https://www.linkedin.com/learning/applied-interaction-design-managing-comments" TargetMode="External"/><Relationship Id="rId1175" Type="http://schemas.openxmlformats.org/officeDocument/2006/relationships/hyperlink" Target="https://www.linkedin.com/learning/managing-remote-teams-setting-expectations-behaviors-and-habits" TargetMode="External"/><Relationship Id="rId1382" Type="http://schemas.openxmlformats.org/officeDocument/2006/relationships/hyperlink" Target="https://www.linkedin.com/learning/advanced-persuasive-selling-persuading-different-personality-types" TargetMode="External"/><Relationship Id="rId405" Type="http://schemas.openxmlformats.org/officeDocument/2006/relationships/hyperlink" Target="https://www.linkedin.com/learning/marketing-to-generation-z" TargetMode="External"/><Relationship Id="rId612" Type="http://schemas.openxmlformats.org/officeDocument/2006/relationships/hyperlink" Target="https://www.linkedin.com/learning/service-metrics-for-customer-service" TargetMode="External"/><Relationship Id="rId1035" Type="http://schemas.openxmlformats.org/officeDocument/2006/relationships/hyperlink" Target="https://www.linkedin.com/learning/communicating-an-enterprise-wide-transformation" TargetMode="External"/><Relationship Id="rId1242" Type="http://schemas.openxmlformats.org/officeDocument/2006/relationships/hyperlink" Target="https://www.linkedin.com/learning/implementing-a-vulnerability-management-program" TargetMode="External"/><Relationship Id="rId1687" Type="http://schemas.openxmlformats.org/officeDocument/2006/relationships/hyperlink" Target="https://www.linkedin.com/learning/creating-a-positive-and-healthy-work-environment" TargetMode="External"/><Relationship Id="rId917" Type="http://schemas.openxmlformats.org/officeDocument/2006/relationships/hyperlink" Target="https://www.linkedin.com/learning/artificial-intelligence-foundations-machine-learning" TargetMode="External"/><Relationship Id="rId1102" Type="http://schemas.openxmlformats.org/officeDocument/2006/relationships/hyperlink" Target="https://www.linkedin.com/learning/developing-your-leadership-philosophy" TargetMode="External"/><Relationship Id="rId1547" Type="http://schemas.openxmlformats.org/officeDocument/2006/relationships/hyperlink" Target="https://www.linkedin.com/learning/boosting-your-team-s-productivity" TargetMode="External"/><Relationship Id="rId1754" Type="http://schemas.openxmlformats.org/officeDocument/2006/relationships/hyperlink" Target="https://www.linkedin.com/learning/arianna-huffington-s-thrive-03-setting-priorities-and-letting-go" TargetMode="External"/><Relationship Id="rId46" Type="http://schemas.openxmlformats.org/officeDocument/2006/relationships/hyperlink" Target="https://www.linkedin.com/learning/how-to-effectively-deliver-criticism" TargetMode="External"/><Relationship Id="rId1407" Type="http://schemas.openxmlformats.org/officeDocument/2006/relationships/hyperlink" Target="https://www.linkedin.com/learning/sales-management-simplified-blinkist-summary" TargetMode="External"/><Relationship Id="rId1614" Type="http://schemas.openxmlformats.org/officeDocument/2006/relationships/hyperlink" Target="https://www.linkedin.com/learning/how-to-be-a-good-mentee-and-mentor" TargetMode="External"/><Relationship Id="rId195" Type="http://schemas.openxmlformats.org/officeDocument/2006/relationships/hyperlink" Target="https://www.linkedin.com/learning/communicating-with-empathy" TargetMode="External"/><Relationship Id="rId262" Type="http://schemas.openxmlformats.org/officeDocument/2006/relationships/hyperlink" Target="https://www.linkedin.com/learning/organization-communication" TargetMode="External"/><Relationship Id="rId567" Type="http://schemas.openxmlformats.org/officeDocument/2006/relationships/hyperlink" Target="https://www.linkedin.com/learning/building-rapport-with-customers" TargetMode="External"/><Relationship Id="rId1197" Type="http://schemas.openxmlformats.org/officeDocument/2006/relationships/hyperlink" Target="https://www.linkedin.com/learning/creating-an-adaptable-team" TargetMode="External"/><Relationship Id="rId122" Type="http://schemas.openxmlformats.org/officeDocument/2006/relationships/hyperlink" Target="https://www.linkedin.com/learning/developing-adaptable-managers" TargetMode="External"/><Relationship Id="rId774" Type="http://schemas.openxmlformats.org/officeDocument/2006/relationships/hyperlink" Target="https://www.linkedin.com/learning/finance-foundations-for-solopreneurs" TargetMode="External"/><Relationship Id="rId981" Type="http://schemas.openxmlformats.org/officeDocument/2006/relationships/hyperlink" Target="https://www.linkedin.com/learning/strategic-agility" TargetMode="External"/><Relationship Id="rId1057" Type="http://schemas.openxmlformats.org/officeDocument/2006/relationships/hyperlink" Target="https://www.linkedin.com/learning/leadership-practical-skills/welcome" TargetMode="External"/><Relationship Id="rId427" Type="http://schemas.openxmlformats.org/officeDocument/2006/relationships/hyperlink" Target="https://www.linkedin.com/learning/designing-an-authentic-brand" TargetMode="External"/><Relationship Id="rId634" Type="http://schemas.openxmlformats.org/officeDocument/2006/relationships/hyperlink" Target="https://www.linkedin.com/learning/tech-ethics-avoiding-unintended-consequences" TargetMode="External"/><Relationship Id="rId841" Type="http://schemas.openxmlformats.org/officeDocument/2006/relationships/hyperlink" Target="https://www.linkedin.com/learning/empathy-tips-for-hr-professionals" TargetMode="External"/><Relationship Id="rId1264" Type="http://schemas.openxmlformats.org/officeDocument/2006/relationships/hyperlink" Target="https://www.linkedin.com/learning/agile-software-development-clean-coding-practices" TargetMode="External"/><Relationship Id="rId1471" Type="http://schemas.openxmlformats.org/officeDocument/2006/relationships/hyperlink" Target="https://www.linkedin.com/learning/communicating-an-enterprise-wide-transformation" TargetMode="External"/><Relationship Id="rId1569" Type="http://schemas.openxmlformats.org/officeDocument/2006/relationships/hyperlink" Target="https://www.linkedin.com/learning/driving-workplace-happiness" TargetMode="External"/><Relationship Id="rId701" Type="http://schemas.openxmlformats.org/officeDocument/2006/relationships/hyperlink" Target="https://www.linkedin.com/learning/power-bi-data-methods" TargetMode="External"/><Relationship Id="rId939" Type="http://schemas.openxmlformats.org/officeDocument/2006/relationships/hyperlink" Target="https://www.linkedin.com/learning/building-recommender-systems-with-machine-learning-and-ai" TargetMode="External"/><Relationship Id="rId1124" Type="http://schemas.openxmlformats.org/officeDocument/2006/relationships/hyperlink" Target="https://www.linkedin.com/learning/predictive-analytics-essential-training-for-executives" TargetMode="External"/><Relationship Id="rId1331" Type="http://schemas.openxmlformats.org/officeDocument/2006/relationships/hyperlink" Target="https://www.linkedin.com/learning/project-management-starts-with-laying-good-ground-rules" TargetMode="External"/><Relationship Id="rId68" Type="http://schemas.openxmlformats.org/officeDocument/2006/relationships/hyperlink" Target="https://www.linkedin.com/learning/the-rules-of-work-getabstract-summary" TargetMode="External"/><Relationship Id="rId1429" Type="http://schemas.openxmlformats.org/officeDocument/2006/relationships/hyperlink" Target="https://www.linkedin.com/learning/sap-erp-essential-training,https:/www.linkedin.com/learning/sap-erp-essential-training-2,https:/www.linkedin.com/learning/sap-erp-essential-training-2020-revision" TargetMode="External"/><Relationship Id="rId1636" Type="http://schemas.openxmlformats.org/officeDocument/2006/relationships/hyperlink" Target="https://www.linkedin.com/learning/leadership-strategies-for-women/women-lead-differently?" TargetMode="External"/><Relationship Id="rId1703" Type="http://schemas.openxmlformats.org/officeDocument/2006/relationships/hyperlink" Target="https://www.linkedin.com/learning/how-to-slash-anxiety-and-keep-positivity-flowing" TargetMode="External"/><Relationship Id="rId284" Type="http://schemas.openxmlformats.org/officeDocument/2006/relationships/hyperlink" Target="https://www.linkedin.com/learning/communicating-with-transparency" TargetMode="External"/><Relationship Id="rId491" Type="http://schemas.openxmlformats.org/officeDocument/2006/relationships/hyperlink" Target="https://www.linkedin.com/learning/how-blockchains-will-change-business" TargetMode="External"/><Relationship Id="rId144" Type="http://schemas.openxmlformats.org/officeDocument/2006/relationships/hyperlink" Target="https://www.linkedin.com/learning/motivating-your-team-to-learn" TargetMode="External"/><Relationship Id="rId589" Type="http://schemas.openxmlformats.org/officeDocument/2006/relationships/hyperlink" Target="https://www.linkedin.com/learning/data-ethics-managing-your-private-customer-data" TargetMode="External"/><Relationship Id="rId796" Type="http://schemas.openxmlformats.org/officeDocument/2006/relationships/hyperlink" Target="https://www.linkedin.com/learning/corporate-finance-profitability-in-a-financial-downturn" TargetMode="External"/><Relationship Id="rId351" Type="http://schemas.openxmlformats.org/officeDocument/2006/relationships/hyperlink" Target="https://www.linkedin.com/learning/managing-team-conflict" TargetMode="External"/><Relationship Id="rId449" Type="http://schemas.openxmlformats.org/officeDocument/2006/relationships/hyperlink" Target="https://www.linkedin.com/learning/advertising-on-pinterest-2019" TargetMode="External"/><Relationship Id="rId656" Type="http://schemas.openxmlformats.org/officeDocument/2006/relationships/hyperlink" Target="https://www.linkedin.com/learning/statistics-foundations-1" TargetMode="External"/><Relationship Id="rId863" Type="http://schemas.openxmlformats.org/officeDocument/2006/relationships/hyperlink" Target="https://www.linkedin.com/learning/building-a-talent-pipeline-from-new-recruits-to-leadership" TargetMode="External"/><Relationship Id="rId1079" Type="http://schemas.openxmlformats.org/officeDocument/2006/relationships/hyperlink" Target="https://www.linkedin.com/learning/the-leader-s-guide-to-mindfulness-getabstract-summary" TargetMode="External"/><Relationship Id="rId1286" Type="http://schemas.openxmlformats.org/officeDocument/2006/relationships/hyperlink" Target="https://www.linkedin.com/learning/how-to-project-vocal-confidence" TargetMode="External"/><Relationship Id="rId1493" Type="http://schemas.openxmlformats.org/officeDocument/2006/relationships/hyperlink" Target="https://www.linkedin.com/learning/a-beginner-s-guide-to-finding-your-calling" TargetMode="External"/><Relationship Id="rId211" Type="http://schemas.openxmlformats.org/officeDocument/2006/relationships/hyperlink" Target="https://www.linkedin.com/learning/inclusive-mindset-for-committed-allies" TargetMode="External"/><Relationship Id="rId309" Type="http://schemas.openxmlformats.org/officeDocument/2006/relationships/hyperlink" Target="https://www.linkedin.com/learning/managing-your-emotions-at-work" TargetMode="External"/><Relationship Id="rId516" Type="http://schemas.openxmlformats.org/officeDocument/2006/relationships/hyperlink" Target="https://www.linkedin.com/learning/using-questions-to-foster-critical-thinking-and-curiosity/how-curiosity-can-open-doors" TargetMode="External"/><Relationship Id="rId1146" Type="http://schemas.openxmlformats.org/officeDocument/2006/relationships/hyperlink" Target="https://www.linkedin.com/learning/simplifying-business-processes" TargetMode="External"/><Relationship Id="rId723" Type="http://schemas.openxmlformats.org/officeDocument/2006/relationships/hyperlink" Target="https://www.linkedin.com/learning/building-a-creative-online-community" TargetMode="External"/><Relationship Id="rId930" Type="http://schemas.openxmlformats.org/officeDocument/2006/relationships/hyperlink" Target="https://www.linkedin.com/learning/foundations-of-enterprise-content-management,https:/www.linkedin.com/learning/foundations-of-enterprise-content-management-2,https:/www.linkedin.com/learning/foundations-of-enterprise-content-management-2020" TargetMode="External"/><Relationship Id="rId1006" Type="http://schemas.openxmlformats.org/officeDocument/2006/relationships/hyperlink" Target="https://www.linkedin.com/learning/managing-stress-for-positive-change/how-to-use-this-course" TargetMode="External"/><Relationship Id="rId1353" Type="http://schemas.openxmlformats.org/officeDocument/2006/relationships/hyperlink" Target="https://www.linkedin.com/learning/project-management-solving-common-project-problems" TargetMode="External"/><Relationship Id="rId1560" Type="http://schemas.openxmlformats.org/officeDocument/2006/relationships/hyperlink" Target="https://www.linkedin.com/learning/managing-virtual-teams-4/managing-people-at-a-distance" TargetMode="External"/><Relationship Id="rId1658" Type="http://schemas.openxmlformats.org/officeDocument/2006/relationships/hyperlink" Target="https://www.linkedin.com/learning/tips-for-better-business-writing" TargetMode="External"/><Relationship Id="rId1213" Type="http://schemas.openxmlformats.org/officeDocument/2006/relationships/hyperlink" Target="https://www.linkedin.com/learning/inventory-management-foundations" TargetMode="External"/><Relationship Id="rId1420" Type="http://schemas.openxmlformats.org/officeDocument/2006/relationships/hyperlink" Target="https://www.linkedin.com/learning/global-strategy/welcome" TargetMode="External"/><Relationship Id="rId1518" Type="http://schemas.openxmlformats.org/officeDocument/2006/relationships/hyperlink" Target="https://www.linkedin.com/learning/all-you-have-to-do-is-ask-how-to-ask-for-help-when-you-need-it" TargetMode="External"/><Relationship Id="rId1725" Type="http://schemas.openxmlformats.org/officeDocument/2006/relationships/hyperlink" Target="https://www.linkedin.com/learning/supporting-a-grieving-employee-a-manager-s-guide" TargetMode="External"/><Relationship Id="rId17" Type="http://schemas.openxmlformats.org/officeDocument/2006/relationships/hyperlink" Target="https://www.linkedin.com/learning/improving-your-focus/understand-the-two-facets-of-focus" TargetMode="External"/><Relationship Id="rId166" Type="http://schemas.openxmlformats.org/officeDocument/2006/relationships/hyperlink" Target="https://www.linkedin.com/learning/foundations-of-team-collaboration" TargetMode="External"/><Relationship Id="rId373" Type="http://schemas.openxmlformats.org/officeDocument/2006/relationships/hyperlink" Target="https://www.linkedin.com/learning/marketing-your-side-hustle" TargetMode="External"/><Relationship Id="rId580" Type="http://schemas.openxmlformats.org/officeDocument/2006/relationships/hyperlink" Target="https://www.linkedin.com/learning/marketing-foundations-consumer-behavior-revision-2020" TargetMode="External"/><Relationship Id="rId1" Type="http://schemas.openxmlformats.org/officeDocument/2006/relationships/hyperlink" Target="https://www.linkedin.com/learning/organization-design" TargetMode="External"/><Relationship Id="rId233" Type="http://schemas.openxmlformats.org/officeDocument/2006/relationships/hyperlink" Target="https://www.linkedin.com/learning/managing-up-virtually-as-an-employee" TargetMode="External"/><Relationship Id="rId440" Type="http://schemas.openxmlformats.org/officeDocument/2006/relationships/hyperlink" Target="https://www.linkedin.com/learning/how-to-tell-stories-that-win-market-share" TargetMode="External"/><Relationship Id="rId678" Type="http://schemas.openxmlformats.org/officeDocument/2006/relationships/hyperlink" Target="https://www.linkedin.com/learning/478e9692-d13d-338f-907e-d76f0724d773" TargetMode="External"/><Relationship Id="rId885" Type="http://schemas.openxmlformats.org/officeDocument/2006/relationships/hyperlink" Target="https://www.linkedin.com/learning/interviewing-techniques-2019" TargetMode="External"/><Relationship Id="rId1070" Type="http://schemas.openxmlformats.org/officeDocument/2006/relationships/hyperlink" Target="https://www.linkedin.com/learning/leadership-fundamentals" TargetMode="External"/><Relationship Id="rId300" Type="http://schemas.openxmlformats.org/officeDocument/2006/relationships/hyperlink" Target="https://www.linkedin.com/learning/preparing-to-interview-for-a-creative-role" TargetMode="External"/><Relationship Id="rId538" Type="http://schemas.openxmlformats.org/officeDocument/2006/relationships/hyperlink" Target="https://www.linkedin.com/learning/learning-from-failure" TargetMode="External"/><Relationship Id="rId745" Type="http://schemas.openxmlformats.org/officeDocument/2006/relationships/hyperlink" Target="https://www.linkedin.com/learning/ux-deep-dive-remote-research" TargetMode="External"/><Relationship Id="rId952" Type="http://schemas.openxmlformats.org/officeDocument/2006/relationships/hyperlink" Target="https://www.linkedin.com/learning/business-apps-for-sharepoint-monthly" TargetMode="External"/><Relationship Id="rId1168" Type="http://schemas.openxmlformats.org/officeDocument/2006/relationships/hyperlink" Target="https://www.linkedin.com/learning/building-change-capability-for-managers" TargetMode="External"/><Relationship Id="rId1375" Type="http://schemas.openxmlformats.org/officeDocument/2006/relationships/hyperlink" Target="https://www.linkedin.com/learning/project-management-technical-projects" TargetMode="External"/><Relationship Id="rId1582" Type="http://schemas.openxmlformats.org/officeDocument/2006/relationships/hyperlink" Target="https://www.linkedin.com/learning/out-and-proud-approaching-lgbt-issues-in-the-workplace" TargetMode="External"/><Relationship Id="rId81" Type="http://schemas.openxmlformats.org/officeDocument/2006/relationships/hyperlink" Target="https://www.linkedin.com/learning/paths/managing-change" TargetMode="External"/><Relationship Id="rId605" Type="http://schemas.openxmlformats.org/officeDocument/2006/relationships/hyperlink" Target="https://www.linkedin.com/learning/customer-service-motivating-your-team" TargetMode="External"/><Relationship Id="rId812" Type="http://schemas.openxmlformats.org/officeDocument/2006/relationships/hyperlink" Target="https://www.linkedin.com/learning/ai-in-fintech-essential-training" TargetMode="External"/><Relationship Id="rId1028" Type="http://schemas.openxmlformats.org/officeDocument/2006/relationships/hyperlink" Target="https://www.linkedin.com/learning/leading-your-team-through-change" TargetMode="External"/><Relationship Id="rId1235" Type="http://schemas.openxmlformats.org/officeDocument/2006/relationships/hyperlink" Target="https://www.linkedin.com/learning/how-blockchains-will-change-business" TargetMode="External"/><Relationship Id="rId1442" Type="http://schemas.openxmlformats.org/officeDocument/2006/relationships/hyperlink" Target="https://www.linkedin.com/learning/your-product-or-service-strategy-explained" TargetMode="External"/><Relationship Id="rId1302" Type="http://schemas.openxmlformats.org/officeDocument/2006/relationships/hyperlink" Target="https://www.linkedin.com/learning/presenting-to-senior-executives" TargetMode="External"/><Relationship Id="rId1747" Type="http://schemas.openxmlformats.org/officeDocument/2006/relationships/hyperlink" Target="https://www.linkedin.com/learning/disrupting-yourself" TargetMode="External"/><Relationship Id="rId39" Type="http://schemas.openxmlformats.org/officeDocument/2006/relationships/hyperlink" Target="https://www.linkedin.com/learning/making-big-goals-achievable" TargetMode="External"/><Relationship Id="rId1607" Type="http://schemas.openxmlformats.org/officeDocument/2006/relationships/hyperlink" Target="https://www.linkedin.com/learning/inclusive-mindset-for-committed-allies" TargetMode="External"/><Relationship Id="rId188" Type="http://schemas.openxmlformats.org/officeDocument/2006/relationships/hyperlink" Target="https://www.linkedin.com/learning/paths/become-an-inclusive-leader" TargetMode="External"/><Relationship Id="rId395" Type="http://schemas.openxmlformats.org/officeDocument/2006/relationships/hyperlink" Target="https://www.linkedin.com/learning/social-media-marketing-roi-2019" TargetMode="External"/><Relationship Id="rId255" Type="http://schemas.openxmlformats.org/officeDocument/2006/relationships/hyperlink" Target="https://www.linkedin.com/learning/effective-listening" TargetMode="External"/><Relationship Id="rId462" Type="http://schemas.openxmlformats.org/officeDocument/2006/relationships/hyperlink" Target="https://www.linkedin.com/learning/improve-seo-for-your-ecommerce-site" TargetMode="External"/><Relationship Id="rId1092" Type="http://schemas.openxmlformats.org/officeDocument/2006/relationships/hyperlink" Target="https://www.linkedin.com/learning/on-leadership-by-jeff-weiner" TargetMode="External"/><Relationship Id="rId1397" Type="http://schemas.openxmlformats.org/officeDocument/2006/relationships/hyperlink" Target="https://www.linkedin.com/learning/creating-your-sales-process-2020" TargetMode="External"/><Relationship Id="rId115" Type="http://schemas.openxmlformats.org/officeDocument/2006/relationships/hyperlink" Target="https://www.linkedin.com/learning/what-is-scrum" TargetMode="External"/><Relationship Id="rId322" Type="http://schemas.openxmlformats.org/officeDocument/2006/relationships/hyperlink" Target="https://www.linkedin.com/learning/paths/improve-your-teamwork-skills" TargetMode="External"/><Relationship Id="rId767" Type="http://schemas.openxmlformats.org/officeDocument/2006/relationships/hyperlink" Target="https://www.linkedin.com/learning/business-tax-foundations" TargetMode="External"/><Relationship Id="rId974" Type="http://schemas.openxmlformats.org/officeDocument/2006/relationships/hyperlink" Target="https://www.linkedin.com/learning/ai-accountability-essential-training" TargetMode="External"/><Relationship Id="rId627" Type="http://schemas.openxmlformats.org/officeDocument/2006/relationships/hyperlink" Target="https://www.linkedin.com/learning/paths/become-a-data-analytics-specialist" TargetMode="External"/><Relationship Id="rId834" Type="http://schemas.openxmlformats.org/officeDocument/2006/relationships/hyperlink" Target="https://www.linkedin.com/learning/organizational-culture/welcome" TargetMode="External"/><Relationship Id="rId1257" Type="http://schemas.openxmlformats.org/officeDocument/2006/relationships/hyperlink" Target="https://www.linkedin.com/learning/six-sigma-black-belt" TargetMode="External"/><Relationship Id="rId1464" Type="http://schemas.openxmlformats.org/officeDocument/2006/relationships/hyperlink" Target="https://www.linkedin.com/learning/organizational-learning-and-development" TargetMode="External"/><Relationship Id="rId1671" Type="http://schemas.openxmlformats.org/officeDocument/2006/relationships/hyperlink" Target="https://www.linkedin.com/learning/writing-a-business-case" TargetMode="External"/><Relationship Id="rId901" Type="http://schemas.openxmlformats.org/officeDocument/2006/relationships/hyperlink" Target="https://www.linkedin.com/learning/paths/advance-your-skills-in-ai-and-machine-learning" TargetMode="External"/><Relationship Id="rId1117" Type="http://schemas.openxmlformats.org/officeDocument/2006/relationships/hyperlink" Target="https://www.linkedin.com/learning/risk-taking-for-leaders/welcome" TargetMode="External"/><Relationship Id="rId1324" Type="http://schemas.openxmlformats.org/officeDocument/2006/relationships/hyperlink" Target="https://www.linkedin.com/learning/project-management-for-creative-projects-3" TargetMode="External"/><Relationship Id="rId1531" Type="http://schemas.openxmlformats.org/officeDocument/2006/relationships/hyperlink" Target="https://www.linkedin.com/learning/developing-your-team-members/personalize-your-leadership-approach" TargetMode="External"/><Relationship Id="rId30" Type="http://schemas.openxmlformats.org/officeDocument/2006/relationships/hyperlink" Target="https://www.linkedin.com/learning/productivity-tips-finding-your-rhythm-2020" TargetMode="External"/><Relationship Id="rId1629" Type="http://schemas.openxmlformats.org/officeDocument/2006/relationships/hyperlink" Target="https://www.linkedin.com/learning/creating-a-connection-culture,https:/www.linkedin.com/learning/creating-a-culture-of-connection" TargetMode="External"/><Relationship Id="rId277" Type="http://schemas.openxmlformats.org/officeDocument/2006/relationships/hyperlink" Target="https://www.linkedin.com/learning/becoming-an-impactful-and-influential-leader" TargetMode="External"/><Relationship Id="rId484" Type="http://schemas.openxmlformats.org/officeDocument/2006/relationships/hyperlink" Target="https://www.linkedin.com/learning/working-with-creatives" TargetMode="External"/><Relationship Id="rId137" Type="http://schemas.openxmlformats.org/officeDocument/2006/relationships/hyperlink" Target="https://www.linkedin.com/learning/building-your-team" TargetMode="External"/><Relationship Id="rId344" Type="http://schemas.openxmlformats.org/officeDocument/2006/relationships/hyperlink" Target="https://www.linkedin.com/learning/difficult-conversations-about-politics-at-work" TargetMode="External"/><Relationship Id="rId691" Type="http://schemas.openxmlformats.org/officeDocument/2006/relationships/hyperlink" Target="https://www.linkedin.com/learning/financial-analysis-analyzing-the-top-line-with-excel" TargetMode="External"/><Relationship Id="rId789" Type="http://schemas.openxmlformats.org/officeDocument/2006/relationships/hyperlink" Target="https://www.linkedin.com/learning/financial-record-keeping" TargetMode="External"/><Relationship Id="rId996" Type="http://schemas.openxmlformats.org/officeDocument/2006/relationships/hyperlink" Target="https://www.linkedin.com/learning/women-transforming-tech-breaking-in-and-staying-in-the-industry" TargetMode="External"/><Relationship Id="rId551" Type="http://schemas.openxmlformats.org/officeDocument/2006/relationships/hyperlink" Target="https://www.linkedin.com/learning/overcoming-cognitive-bias" TargetMode="External"/><Relationship Id="rId649" Type="http://schemas.openxmlformats.org/officeDocument/2006/relationships/hyperlink" Target="https://www.linkedin.com/learning/learning-data-science-tell-stories-with-data/define-a-story" TargetMode="External"/><Relationship Id="rId856" Type="http://schemas.openxmlformats.org/officeDocument/2006/relationships/hyperlink" Target="https://www.linkedin.com/learning/preventing-harassment-in-the-workplace" TargetMode="External"/><Relationship Id="rId1181" Type="http://schemas.openxmlformats.org/officeDocument/2006/relationships/hyperlink" Target="https://www.linkedin.com/learning/developing-your-team-members" TargetMode="External"/><Relationship Id="rId1279" Type="http://schemas.openxmlformats.org/officeDocument/2006/relationships/hyperlink" Target="https://www.linkedin.com/learning/public-speaking-foundations-2" TargetMode="External"/><Relationship Id="rId1486" Type="http://schemas.openxmlformats.org/officeDocument/2006/relationships/hyperlink" Target="https://www.linkedin.com/learning/building-your-team" TargetMode="External"/><Relationship Id="rId204" Type="http://schemas.openxmlformats.org/officeDocument/2006/relationships/hyperlink" Target="https://www.linkedin.com/learning/professional-networking" TargetMode="External"/><Relationship Id="rId411" Type="http://schemas.openxmlformats.org/officeDocument/2006/relationships/hyperlink" Target="https://www.linkedin.com/learning/marketing-tools-automation" TargetMode="External"/><Relationship Id="rId509" Type="http://schemas.openxmlformats.org/officeDocument/2006/relationships/hyperlink" Target="https://www.linkedin.com/learning/ux-deep-dive-remote-research" TargetMode="External"/><Relationship Id="rId1041" Type="http://schemas.openxmlformats.org/officeDocument/2006/relationships/hyperlink" Target="https://www.linkedin.com/learning/leading-with-vision" TargetMode="External"/><Relationship Id="rId1139" Type="http://schemas.openxmlformats.org/officeDocument/2006/relationships/hyperlink" Target="https://www.linkedin.com/learning/having-difficult-conversations-2" TargetMode="External"/><Relationship Id="rId1346" Type="http://schemas.openxmlformats.org/officeDocument/2006/relationships/hyperlink" Target="https://www.linkedin.com/learning/time-management-tips-teamwork-2019" TargetMode="External"/><Relationship Id="rId1693" Type="http://schemas.openxmlformats.org/officeDocument/2006/relationships/hyperlink" Target="https://www.linkedin.com/learning/paths/staying-positive-and-productive-during-uncertainty" TargetMode="External"/><Relationship Id="rId716" Type="http://schemas.openxmlformats.org/officeDocument/2006/relationships/hyperlink" Target="https://www.linkedin.com/learning/data-visualization-for-data-analysis-and-analytics" TargetMode="External"/><Relationship Id="rId923" Type="http://schemas.openxmlformats.org/officeDocument/2006/relationships/hyperlink" Target="https://www.linkedin.com/learning/machine-learning-and-ai-foundations-predictive-modeling-strategy-at-scale" TargetMode="External"/><Relationship Id="rId1553" Type="http://schemas.openxmlformats.org/officeDocument/2006/relationships/hyperlink" Target="https://www.linkedin.com/learning/performance-management-setting-goals-and-managing-performance" TargetMode="External"/><Relationship Id="rId1760" Type="http://schemas.openxmlformats.org/officeDocument/2006/relationships/hyperlink" Target="https://www.linkedin.com/learning/mindfulness-practices" TargetMode="External"/><Relationship Id="rId52" Type="http://schemas.openxmlformats.org/officeDocument/2006/relationships/hyperlink" Target="https://www.linkedin.com/learning/time-management-for-busy-people" TargetMode="External"/><Relationship Id="rId1206" Type="http://schemas.openxmlformats.org/officeDocument/2006/relationships/hyperlink" Target="https://www.linkedin.com/learning/microsoft-power-automate-advanced-business-automation" TargetMode="External"/><Relationship Id="rId1413" Type="http://schemas.openxmlformats.org/officeDocument/2006/relationships/hyperlink" Target="https://www.linkedin.com/learning/selling-with-empathy-during-uncertain-times" TargetMode="External"/><Relationship Id="rId1620" Type="http://schemas.openxmlformats.org/officeDocument/2006/relationships/hyperlink" Target="https://www.linkedin.com/learning/cultivating-cultural-competence-and-inclusion" TargetMode="External"/><Relationship Id="rId1718" Type="http://schemas.openxmlformats.org/officeDocument/2006/relationships/hyperlink" Target="https://www.linkedin.com/learning/meditations-to-change-your-brain" TargetMode="External"/><Relationship Id="rId299" Type="http://schemas.openxmlformats.org/officeDocument/2006/relationships/hyperlink" Target="https://www.linkedin.com/learning/dealing-with-grief-loss-and-change-as-an-employee" TargetMode="External"/><Relationship Id="rId159" Type="http://schemas.openxmlformats.org/officeDocument/2006/relationships/hyperlink" Target="https://www.linkedin.com/learning/motivating-and-engaging-employees-2/welcome" TargetMode="External"/><Relationship Id="rId366" Type="http://schemas.openxmlformats.org/officeDocument/2006/relationships/hyperlink" Target="https://www.linkedin.com/learning/b2b-foundations-social-media-marketing" TargetMode="External"/><Relationship Id="rId573" Type="http://schemas.openxmlformats.org/officeDocument/2006/relationships/hyperlink" Target="https://www.linkedin.com/learning/managing-customer-expectations-for-frontline-employees" TargetMode="External"/><Relationship Id="rId780" Type="http://schemas.openxmlformats.org/officeDocument/2006/relationships/hyperlink" Target="https://www.linkedin.com/learning/behavioral-finance-foundations" TargetMode="External"/><Relationship Id="rId226" Type="http://schemas.openxmlformats.org/officeDocument/2006/relationships/hyperlink" Target="https://www.linkedin.com/learning/unlock-your-team-s-creativity" TargetMode="External"/><Relationship Id="rId433" Type="http://schemas.openxmlformats.org/officeDocument/2006/relationships/hyperlink" Target="https://www.linkedin.com/learning/social-media-marketing-for-small-business" TargetMode="External"/><Relationship Id="rId878" Type="http://schemas.openxmlformats.org/officeDocument/2006/relationships/hyperlink" Target="https://www.linkedin.com/learning/human-resources-running-company-onboarding" TargetMode="External"/><Relationship Id="rId1063" Type="http://schemas.openxmlformats.org/officeDocument/2006/relationships/hyperlink" Target="https://www.linkedin.com/learning/women-transforming-tech-voices-from-the-field" TargetMode="External"/><Relationship Id="rId1270" Type="http://schemas.openxmlformats.org/officeDocument/2006/relationships/hyperlink" Target="https://www.linkedin.com/learning/common-meeting-problems" TargetMode="External"/><Relationship Id="rId640" Type="http://schemas.openxmlformats.org/officeDocument/2006/relationships/hyperlink" Target="https://www.linkedin.com/learning/business-analysis-foundations-business-process-modeling" TargetMode="External"/><Relationship Id="rId738" Type="http://schemas.openxmlformats.org/officeDocument/2006/relationships/hyperlink" Target="https://www.linkedin.com/learning/design-thinking-at-work-getabstract-summary" TargetMode="External"/><Relationship Id="rId945" Type="http://schemas.openxmlformats.org/officeDocument/2006/relationships/hyperlink" Target="https://www.linkedin.com/learning/access-2019-building-dashboards-for-excel" TargetMode="External"/><Relationship Id="rId1368" Type="http://schemas.openxmlformats.org/officeDocument/2006/relationships/hyperlink" Target="https://www.linkedin.com/learning/blending-project-management-methods" TargetMode="External"/><Relationship Id="rId1575" Type="http://schemas.openxmlformats.org/officeDocument/2006/relationships/hyperlink" Target="https://www.linkedin.com/learning/rolling-out-a-dibs-training-program-in-your-company" TargetMode="External"/><Relationship Id="rId74" Type="http://schemas.openxmlformats.org/officeDocument/2006/relationships/hyperlink" Target="https://www.linkedin.com/learning/showing-up-authentically-at-work" TargetMode="External"/><Relationship Id="rId500" Type="http://schemas.openxmlformats.org/officeDocument/2006/relationships/hyperlink" Target="https://www.linkedin.com/learning/how-to-boost-your-creativity-at-home-in-10-days-uk" TargetMode="External"/><Relationship Id="rId805" Type="http://schemas.openxmlformats.org/officeDocument/2006/relationships/hyperlink" Target="https://www.linkedin.com/learning/protecting-profitability-by-reducing-financial-risk" TargetMode="External"/><Relationship Id="rId1130" Type="http://schemas.openxmlformats.org/officeDocument/2006/relationships/hyperlink" Target="https://www.linkedin.com/learning/the-definitive-drucker-getabstract-summary" TargetMode="External"/><Relationship Id="rId1228" Type="http://schemas.openxmlformats.org/officeDocument/2006/relationships/hyperlink" Target="https://www.linkedin.com/learning/from-resisting-to-embracing-lean-a-case-study" TargetMode="External"/><Relationship Id="rId1435" Type="http://schemas.openxmlformats.org/officeDocument/2006/relationships/hyperlink" Target="https://www.linkedin.com/learning/developing-your-execution-strategy" TargetMode="External"/><Relationship Id="rId1642" Type="http://schemas.openxmlformats.org/officeDocument/2006/relationships/hyperlink" Target="https://www.linkedin.com/learning/values-and-ethics-case-studies-in-action" TargetMode="External"/><Relationship Id="rId1502" Type="http://schemas.openxmlformats.org/officeDocument/2006/relationships/hyperlink" Target="https://www.linkedin.com/learning/make-the-move-from-individual-contributor-to-manager-2019" TargetMode="External"/><Relationship Id="rId290" Type="http://schemas.openxmlformats.org/officeDocument/2006/relationships/hyperlink" Target="https://www.linkedin.com/learning/evil-by-design-1-overview,https:/www.linkedin.com/learning/evil-by-design-1-overview-revision-2021,https:/www.linkedin.com/learning/evil-by-design-persuasion-in-ux" TargetMode="External"/><Relationship Id="rId388" Type="http://schemas.openxmlformats.org/officeDocument/2006/relationships/hyperlink" Target="https://www.linkedin.com/learning/social-media-marketing-tips" TargetMode="External"/><Relationship Id="rId150" Type="http://schemas.openxmlformats.org/officeDocument/2006/relationships/hyperlink" Target="https://www.linkedin.com/learning/teamwork-foundations-2020" TargetMode="External"/><Relationship Id="rId595" Type="http://schemas.openxmlformats.org/officeDocument/2006/relationships/hyperlink" Target="https://www.linkedin.com/learning/customer-service-problem-solving-and-troubleshooting" TargetMode="External"/><Relationship Id="rId248" Type="http://schemas.openxmlformats.org/officeDocument/2006/relationships/hyperlink" Target="https://www.linkedin.com/learning/strategic-negotiation" TargetMode="External"/><Relationship Id="rId455" Type="http://schemas.openxmlformats.org/officeDocument/2006/relationships/hyperlink" Target="https://www.linkedin.com/learning/content-marketing-roi,https:/www.linkedin.com/learning/content-marketing-roi-2,https:/www.linkedin.com/learning/content-marketing-roi-revision-2020" TargetMode="External"/><Relationship Id="rId662" Type="http://schemas.openxmlformats.org/officeDocument/2006/relationships/hyperlink" Target="https://www.linkedin.com/learning/tableau-essential-training-2020-1-revision" TargetMode="External"/><Relationship Id="rId1085" Type="http://schemas.openxmlformats.org/officeDocument/2006/relationships/hyperlink" Target="https://www.linkedin.com/learning/the-fearless-organization-blinkist-summary" TargetMode="External"/><Relationship Id="rId1292" Type="http://schemas.openxmlformats.org/officeDocument/2006/relationships/hyperlink" Target="https://www.linkedin.com/learning/leading-productive-meetings-3" TargetMode="External"/><Relationship Id="rId108" Type="http://schemas.openxmlformats.org/officeDocument/2006/relationships/hyperlink" Target="https://www.linkedin.com/learning/project-audio-highlights-2020" TargetMode="External"/><Relationship Id="rId315" Type="http://schemas.openxmlformats.org/officeDocument/2006/relationships/hyperlink" Target="https://www.linkedin.com/learning/navigating-politics-as-a-senior-leader" TargetMode="External"/><Relationship Id="rId522" Type="http://schemas.openxmlformats.org/officeDocument/2006/relationships/hyperlink" Target="https://www.linkedin.com/learning/paths/improve-your-problem-solving-skills" TargetMode="External"/><Relationship Id="rId967" Type="http://schemas.openxmlformats.org/officeDocument/2006/relationships/hyperlink" Target="https://www.linkedin.com/learning/azure-administration-configure-and-manage-virtual-networks" TargetMode="External"/><Relationship Id="rId1152" Type="http://schemas.openxmlformats.org/officeDocument/2006/relationships/hyperlink" Target="https://www.linkedin.com/learning/implementing-continuous-improvement-a-case-study" TargetMode="External"/><Relationship Id="rId1597" Type="http://schemas.openxmlformats.org/officeDocument/2006/relationships/hyperlink" Target="https://www.linkedin.com/learning/overcoming-imposter-syndrome/the-reality-of-imposter-syndrome?" TargetMode="External"/><Relationship Id="rId96" Type="http://schemas.openxmlformats.org/officeDocument/2006/relationships/hyperlink" Target="https://www.linkedin.com/learning/delivering-results-effectively" TargetMode="External"/><Relationship Id="rId827" Type="http://schemas.openxmlformats.org/officeDocument/2006/relationships/hyperlink" Target="https://www.linkedin.com/learning/crisis-communication-for-hr" TargetMode="External"/><Relationship Id="rId1012" Type="http://schemas.openxmlformats.org/officeDocument/2006/relationships/hyperlink" Target="https://www.linkedin.com/learning/the-employee-s-guide-to-sustainability" TargetMode="External"/><Relationship Id="rId1457" Type="http://schemas.openxmlformats.org/officeDocument/2006/relationships/hyperlink" Target="https://www.linkedin.com/learning/create-a-go-to-market-plan-2,https:/www.linkedin.com/learning/create-a-go-to-market-plan-revision-2020" TargetMode="External"/><Relationship Id="rId1664" Type="http://schemas.openxmlformats.org/officeDocument/2006/relationships/hyperlink" Target="https://www.linkedin.com/learning/writing-articles-2020" TargetMode="External"/><Relationship Id="rId1317" Type="http://schemas.openxmlformats.org/officeDocument/2006/relationships/hyperlink" Target="https://www.linkedin.com/learning/powerpoint-2016-tips-and-tricks" TargetMode="External"/><Relationship Id="rId1524" Type="http://schemas.openxmlformats.org/officeDocument/2006/relationships/hyperlink" Target="https://www.linkedin.com/learning/creating-a-leadership-development-program" TargetMode="External"/><Relationship Id="rId1731" Type="http://schemas.openxmlformats.org/officeDocument/2006/relationships/hyperlink" Target="https://www.linkedin.com/learning/gretchen-rubin-on-creating-great-workplace-habits" TargetMode="External"/><Relationship Id="rId23" Type="http://schemas.openxmlformats.org/officeDocument/2006/relationships/hyperlink" Target="https://www.linkedin.com/learning/sheryl-sandberg-and-adam-grant-on-option-b-building-resilience" TargetMode="External"/><Relationship Id="rId172" Type="http://schemas.openxmlformats.org/officeDocument/2006/relationships/hyperlink" Target="https://www.linkedin.com/learning/facilitation-skills-for-managers-and-leaders" TargetMode="External"/><Relationship Id="rId477" Type="http://schemas.openxmlformats.org/officeDocument/2006/relationships/hyperlink" Target="https://www.linkedin.com/learning/gary-hamel-on-busting-bureaucracy/welcome" TargetMode="External"/><Relationship Id="rId684" Type="http://schemas.openxmlformats.org/officeDocument/2006/relationships/hyperlink" Target="https://www.linkedin.com/learning/excel-charts-in-depth" TargetMode="External"/><Relationship Id="rId337" Type="http://schemas.openxmlformats.org/officeDocument/2006/relationships/hyperlink" Target="https://www.linkedin.com/learning/delivering-bad-news-effectively" TargetMode="External"/><Relationship Id="rId891" Type="http://schemas.openxmlformats.org/officeDocument/2006/relationships/hyperlink" Target="https://www.linkedin.com/learning/rolling-out-a-dibs-training-program-in-your-company" TargetMode="External"/><Relationship Id="rId989" Type="http://schemas.openxmlformats.org/officeDocument/2006/relationships/hyperlink" Target="https://www.linkedin.com/learning/embracing-unexpected-change" TargetMode="External"/><Relationship Id="rId544" Type="http://schemas.openxmlformats.org/officeDocument/2006/relationships/hyperlink" Target="https://www.linkedin.com/learning/simplifying-business-processes" TargetMode="External"/><Relationship Id="rId751" Type="http://schemas.openxmlformats.org/officeDocument/2006/relationships/hyperlink" Target="https://www.linkedin.com/learning/interaction-design-interface" TargetMode="External"/><Relationship Id="rId849" Type="http://schemas.openxmlformats.org/officeDocument/2006/relationships/hyperlink" Target="https://www.linkedin.com/learning/human-resources-working-with-vendors-2" TargetMode="External"/><Relationship Id="rId1174" Type="http://schemas.openxmlformats.org/officeDocument/2006/relationships/hyperlink" Target="https://www.linkedin.com/learning/leading-and-managing-the-whole-self" TargetMode="External"/><Relationship Id="rId1381" Type="http://schemas.openxmlformats.org/officeDocument/2006/relationships/hyperlink" Target="https://www.linkedin.com/learning/the-persuasion-code-the-neuroscience-of-sales" TargetMode="External"/><Relationship Id="rId1479" Type="http://schemas.openxmlformats.org/officeDocument/2006/relationships/hyperlink" Target="https://www.linkedin.com/learning/creating-a-high-performance-culture/components-of-high-performing-cultures" TargetMode="External"/><Relationship Id="rId1686" Type="http://schemas.openxmlformats.org/officeDocument/2006/relationships/hyperlink" Target="https://www.linkedin.com/learning/writing-headlines" TargetMode="External"/><Relationship Id="rId404" Type="http://schemas.openxmlformats.org/officeDocument/2006/relationships/hyperlink" Target="https://www.linkedin.com/learning/branding-foundations-revision-2020" TargetMode="External"/><Relationship Id="rId611" Type="http://schemas.openxmlformats.org/officeDocument/2006/relationships/hyperlink" Target="https://www.linkedin.com/learning/service-innovation" TargetMode="External"/><Relationship Id="rId1034" Type="http://schemas.openxmlformats.org/officeDocument/2006/relationships/hyperlink" Target="https://www.linkedin.com/learning/leading-with-values" TargetMode="External"/><Relationship Id="rId1241" Type="http://schemas.openxmlformats.org/officeDocument/2006/relationships/hyperlink" Target="https://www.linkedin.com/learning/design-thinking-understanding-the-process-revision-2021" TargetMode="External"/><Relationship Id="rId1339" Type="http://schemas.openxmlformats.org/officeDocument/2006/relationships/hyperlink" Target="https://www.linkedin.com/learning/project-management-simplified-2019" TargetMode="External"/><Relationship Id="rId709" Type="http://schemas.openxmlformats.org/officeDocument/2006/relationships/hyperlink" Target="https://www.linkedin.com/learning/review-and-manage-the-sap-mrp-list" TargetMode="External"/><Relationship Id="rId916" Type="http://schemas.openxmlformats.org/officeDocument/2006/relationships/hyperlink" Target="https://www.linkedin.com/learning/paths/get-ahead-in-ios-app-development" TargetMode="External"/><Relationship Id="rId1101" Type="http://schemas.openxmlformats.org/officeDocument/2006/relationships/hyperlink" Target="https://www.linkedin.com/learning/collaborative-leadership" TargetMode="External"/><Relationship Id="rId1546" Type="http://schemas.openxmlformats.org/officeDocument/2006/relationships/hyperlink" Target="https://www.linkedin.com/learning/paths/managing-performance" TargetMode="External"/><Relationship Id="rId1753" Type="http://schemas.openxmlformats.org/officeDocument/2006/relationships/hyperlink" Target="https://www.linkedin.com/learning/confronting-bias-thriving-across-our-differences" TargetMode="External"/><Relationship Id="rId45" Type="http://schemas.openxmlformats.org/officeDocument/2006/relationships/hyperlink" Target="https://www.linkedin.com/learning/making-change-last" TargetMode="External"/><Relationship Id="rId1406" Type="http://schemas.openxmlformats.org/officeDocument/2006/relationships/hyperlink" Target="https://www.linkedin.com/learning/just-ask-dean-karrel-2020" TargetMode="External"/><Relationship Id="rId1613" Type="http://schemas.openxmlformats.org/officeDocument/2006/relationships/hyperlink" Target="https://www.linkedin.com/learning/multinational-communication-in-the-workplace" TargetMode="External"/><Relationship Id="rId194" Type="http://schemas.openxmlformats.org/officeDocument/2006/relationships/hyperlink" Target="https://www.linkedin.com/learning/collaboration-principles-and-process" TargetMode="External"/><Relationship Id="rId261" Type="http://schemas.openxmlformats.org/officeDocument/2006/relationships/hyperlink" Target="https://www.linkedin.com/learning/negotiation-skills/instead-of-yes-or-no-negotiate" TargetMode="External"/><Relationship Id="rId499" Type="http://schemas.openxmlformats.org/officeDocument/2006/relationships/hyperlink" Target="https://www.linkedin.com/learning/leading-with-innovation/welcome" TargetMode="External"/><Relationship Id="rId359" Type="http://schemas.openxmlformats.org/officeDocument/2006/relationships/hyperlink" Target="https://www.linkedin.com/learning/advanced-lead-generation-2019" TargetMode="External"/><Relationship Id="rId566" Type="http://schemas.openxmlformats.org/officeDocument/2006/relationships/hyperlink" Target="https://www.linkedin.com/learning/paths/develop-your-customer-service-skills" TargetMode="External"/><Relationship Id="rId773" Type="http://schemas.openxmlformats.org/officeDocument/2006/relationships/hyperlink" Target="https://www.linkedin.com/learning/teaching-your-kids-about-finance" TargetMode="External"/><Relationship Id="rId1196" Type="http://schemas.openxmlformats.org/officeDocument/2006/relationships/hyperlink" Target="https://www.linkedin.com/learning/creating-winning-teams" TargetMode="External"/><Relationship Id="rId121" Type="http://schemas.openxmlformats.org/officeDocument/2006/relationships/hyperlink" Target="https://www.linkedin.com/learning/communicating-in-times-of-change/welcome" TargetMode="External"/><Relationship Id="rId219" Type="http://schemas.openxmlformats.org/officeDocument/2006/relationships/hyperlink" Target="https://www.linkedin.com/learning/improving-your-listening-skills" TargetMode="External"/><Relationship Id="rId426" Type="http://schemas.openxmlformats.org/officeDocument/2006/relationships/hyperlink" Target="https://www.linkedin.com/learning/developing-a-youtube-strategy" TargetMode="External"/><Relationship Id="rId633" Type="http://schemas.openxmlformats.org/officeDocument/2006/relationships/hyperlink" Target="https://www.linkedin.com/learning/paths/develop-your-data-analysis-skills" TargetMode="External"/><Relationship Id="rId980" Type="http://schemas.openxmlformats.org/officeDocument/2006/relationships/hyperlink" Target="https://www.linkedin.com/learning/leading-change-4" TargetMode="External"/><Relationship Id="rId1056" Type="http://schemas.openxmlformats.org/officeDocument/2006/relationships/hyperlink" Target="https://www.linkedin.com/learning/leadership-foundations-leadership-styles-and-models" TargetMode="External"/><Relationship Id="rId1263" Type="http://schemas.openxmlformats.org/officeDocument/2006/relationships/hyperlink" Target="https://www.linkedin.com/learning/excel-implementing-balanced-scorecards-with-kpis" TargetMode="External"/><Relationship Id="rId840" Type="http://schemas.openxmlformats.org/officeDocument/2006/relationships/hyperlink" Target="https://www.linkedin.com/learning/learning-microsoft-dynamics-talent-2019" TargetMode="External"/><Relationship Id="rId938" Type="http://schemas.openxmlformats.org/officeDocument/2006/relationships/hyperlink" Target="https://www.linkedin.com/learning/machine-learning-and-ai-foundations-value-estimations" TargetMode="External"/><Relationship Id="rId1470" Type="http://schemas.openxmlformats.org/officeDocument/2006/relationships/hyperlink" Target="https://www.linkedin.com/learning/strategic-planning-case-studies" TargetMode="External"/><Relationship Id="rId1568" Type="http://schemas.openxmlformats.org/officeDocument/2006/relationships/hyperlink" Target="https://www.linkedin.com/learning/coaching-for-results" TargetMode="External"/><Relationship Id="rId67" Type="http://schemas.openxmlformats.org/officeDocument/2006/relationships/hyperlink" Target="https://www.linkedin.com/learning/stepping-up-how-taking-responsibility-changes-everything-getabstract-summary" TargetMode="External"/><Relationship Id="rId700" Type="http://schemas.openxmlformats.org/officeDocument/2006/relationships/hyperlink" Target="https://www.linkedin.com/learning/data-dashboards-in-power-bi" TargetMode="External"/><Relationship Id="rId1123" Type="http://schemas.openxmlformats.org/officeDocument/2006/relationships/hyperlink" Target="https://www.linkedin.com/learning/building-and-managing-a-high-performing-sales-team" TargetMode="External"/><Relationship Id="rId1330" Type="http://schemas.openxmlformats.org/officeDocument/2006/relationships/hyperlink" Target="https://www.linkedin.com/learning/project-management-foundations-small-projects-2" TargetMode="External"/><Relationship Id="rId1428" Type="http://schemas.openxmlformats.org/officeDocument/2006/relationships/hyperlink" Target="https://www.linkedin.com/learning/designing-an-authentic-brand" TargetMode="External"/><Relationship Id="rId1635" Type="http://schemas.openxmlformats.org/officeDocument/2006/relationships/hyperlink" Target="https://www.linkedin.com/learning/collaborative-leadership" TargetMode="External"/><Relationship Id="rId1702" Type="http://schemas.openxmlformats.org/officeDocument/2006/relationships/hyperlink" Target="https://www.linkedin.com/learning/chair-work-yoga-fitness-and-stretching-at-your-desk" TargetMode="External"/><Relationship Id="rId283" Type="http://schemas.openxmlformats.org/officeDocument/2006/relationships/hyperlink" Target="https://www.linkedin.com/learning/supporting-a-grieving-employee-a-manager-s-guide" TargetMode="External"/><Relationship Id="rId490" Type="http://schemas.openxmlformats.org/officeDocument/2006/relationships/hyperlink" Target="https://www.linkedin.com/learning/introduction-to-responsible-ai-algorithm-design" TargetMode="External"/><Relationship Id="rId143" Type="http://schemas.openxmlformats.org/officeDocument/2006/relationships/hyperlink" Target="https://www.linkedin.com/learning/top-of-mind-use-content-to-unleash-your-influence-getabstract-summary" TargetMode="External"/><Relationship Id="rId350" Type="http://schemas.openxmlformats.org/officeDocument/2006/relationships/hyperlink" Target="https://www.linkedin.com/learning/managing-in-difficult-times" TargetMode="External"/><Relationship Id="rId588" Type="http://schemas.openxmlformats.org/officeDocument/2006/relationships/hyperlink" Target="https://www.linkedin.com/learning/customer-service-and-support-during-economic-downturns" TargetMode="External"/><Relationship Id="rId795" Type="http://schemas.openxmlformats.org/officeDocument/2006/relationships/hyperlink" Target="https://www.linkedin.com/learning/sap-business-one-finance-and-banking" TargetMode="External"/><Relationship Id="rId9" Type="http://schemas.openxmlformats.org/officeDocument/2006/relationships/hyperlink" Target="https://www.linkedin.com/learning/efficient-time-management/welcome" TargetMode="External"/><Relationship Id="rId210" Type="http://schemas.openxmlformats.org/officeDocument/2006/relationships/hyperlink" Target="https://www.linkedin.com/learning/teamwork-foundations-2020" TargetMode="External"/><Relationship Id="rId448" Type="http://schemas.openxmlformats.org/officeDocument/2006/relationships/hyperlink" Target="https://www.linkedin.com/learning/the-data-science-of-marketing" TargetMode="External"/><Relationship Id="rId655" Type="http://schemas.openxmlformats.org/officeDocument/2006/relationships/hyperlink" Target="https://www.linkedin.com/learning/sql-for-exploratory-data-analysis-essential-training" TargetMode="External"/><Relationship Id="rId862" Type="http://schemas.openxmlformats.org/officeDocument/2006/relationships/hyperlink" Target="https://www.linkedin.com/learning/building-a-talent-pipeline-from-new-recruits-to-leadership" TargetMode="External"/><Relationship Id="rId1078" Type="http://schemas.openxmlformats.org/officeDocument/2006/relationships/hyperlink" Target="https://www.linkedin.com/learning/humble-inquiry-the-gentle-art-of-asking-instead-of-telling-getabstract-summary" TargetMode="External"/><Relationship Id="rId1285" Type="http://schemas.openxmlformats.org/officeDocument/2006/relationships/hyperlink" Target="https://www.linkedin.com/learning/using-video-to-convey-your-passion-and-personality" TargetMode="External"/><Relationship Id="rId1492" Type="http://schemas.openxmlformats.org/officeDocument/2006/relationships/hyperlink" Target="https://www.linkedin.com/learning/women-transforming-tech-voices-from-the-field-2" TargetMode="External"/><Relationship Id="rId308" Type="http://schemas.openxmlformats.org/officeDocument/2006/relationships/hyperlink" Target="https://www.linkedin.com/learning/having-powerful-advanced-conversations" TargetMode="External"/><Relationship Id="rId515" Type="http://schemas.openxmlformats.org/officeDocument/2006/relationships/hyperlink" Target="https://www.linkedin.com/learning/supply-chain-foundations" TargetMode="External"/><Relationship Id="rId722" Type="http://schemas.openxmlformats.org/officeDocument/2006/relationships/hyperlink" Target="https://www.linkedin.com/learning/graphic-design-careers-first-steps-revision" TargetMode="External"/><Relationship Id="rId1145" Type="http://schemas.openxmlformats.org/officeDocument/2006/relationships/hyperlink" Target="https://www.linkedin.com/learning/setting-team-and-employee-goals" TargetMode="External"/><Relationship Id="rId1352" Type="http://schemas.openxmlformats.org/officeDocument/2006/relationships/hyperlink" Target="https://www.linkedin.com/learning/delivering-results-with-a-business-focused-pmo" TargetMode="External"/><Relationship Id="rId89" Type="http://schemas.openxmlformats.org/officeDocument/2006/relationships/hyperlink" Target="https://www.linkedin.com/learning/gary-hamel-on-busting-bureaucracy" TargetMode="External"/><Relationship Id="rId1005" Type="http://schemas.openxmlformats.org/officeDocument/2006/relationships/hyperlink" Target="https://www.linkedin.com/learning/leading-with-innovation" TargetMode="External"/><Relationship Id="rId1212" Type="http://schemas.openxmlformats.org/officeDocument/2006/relationships/hyperlink" Target="https://www.linkedin.com/learning/paths/become-a-six-sigma-yellow-belt" TargetMode="External"/><Relationship Id="rId1657" Type="http://schemas.openxmlformats.org/officeDocument/2006/relationships/hyperlink" Target="https://www.linkedin.com/learning/grammar-girl-s-quick-and-dirty-tips-for-better-writing" TargetMode="External"/><Relationship Id="rId1517" Type="http://schemas.openxmlformats.org/officeDocument/2006/relationships/hyperlink" Target="https://www.linkedin.com/learning/bring-your-human-to-work-getabstract-summary" TargetMode="External"/><Relationship Id="rId1724" Type="http://schemas.openxmlformats.org/officeDocument/2006/relationships/hyperlink" Target="https://www.linkedin.com/learning/being-positive-at-work" TargetMode="External"/><Relationship Id="rId16" Type="http://schemas.openxmlformats.org/officeDocument/2006/relationships/hyperlink" Target="https://www.linkedin.com/learning/holding-yourself-accountable" TargetMode="External"/><Relationship Id="rId165" Type="http://schemas.openxmlformats.org/officeDocument/2006/relationships/hyperlink" Target="https://www.linkedin.com/learning/supporting-the-whole-self-at-work-a-diversity-and-inclusion-imperative" TargetMode="External"/><Relationship Id="rId372" Type="http://schemas.openxmlformats.org/officeDocument/2006/relationships/hyperlink" Target="https://www.linkedin.com/learning/marketing-foundations-international-marketing" TargetMode="External"/><Relationship Id="rId677" Type="http://schemas.openxmlformats.org/officeDocument/2006/relationships/hyperlink" Target="https://www.linkedin.com/learning/analyzing-big-data-with-hive" TargetMode="External"/><Relationship Id="rId232" Type="http://schemas.openxmlformats.org/officeDocument/2006/relationships/hyperlink" Target="https://www.linkedin.com/learning/foundations-of-team-collaboration" TargetMode="External"/><Relationship Id="rId884" Type="http://schemas.openxmlformats.org/officeDocument/2006/relationships/hyperlink" Target="https://www.linkedin.com/learning/talent-sourcing" TargetMode="External"/><Relationship Id="rId537" Type="http://schemas.openxmlformats.org/officeDocument/2006/relationships/hyperlink" Target="https://www.linkedin.com/learning/learning-agility" TargetMode="External"/><Relationship Id="rId744" Type="http://schemas.openxmlformats.org/officeDocument/2006/relationships/hyperlink" Target="https://www.linkedin.com/learning/getting-executive-buy-in-and-support-for-your-l-d-program,https:/www.linkedin.com/learning/the-future-of-workplace-learning" TargetMode="External"/><Relationship Id="rId951" Type="http://schemas.openxmlformats.org/officeDocument/2006/relationships/hyperlink" Target="https://www.linkedin.com/learning/microsoft-teams-successful-meetings-and-events" TargetMode="External"/><Relationship Id="rId1167" Type="http://schemas.openxmlformats.org/officeDocument/2006/relationships/hyperlink" Target="https://www.linkedin.com/learning/motivating-and-engaging-employees-2" TargetMode="External"/><Relationship Id="rId1374" Type="http://schemas.openxmlformats.org/officeDocument/2006/relationships/hyperlink" Target="https://www.linkedin.com/learning/project-management-foundations-risk-3" TargetMode="External"/><Relationship Id="rId1581" Type="http://schemas.openxmlformats.org/officeDocument/2006/relationships/hyperlink" Target="https://www.linkedin.com/learning/leveraging-neuroscience-for-business-impact" TargetMode="External"/><Relationship Id="rId1679" Type="http://schemas.openxmlformats.org/officeDocument/2006/relationships/hyperlink" Target="https://www.linkedin.com/learning/writing-with-flair-how-to-become-an-exceptional-writer" TargetMode="External"/><Relationship Id="rId80" Type="http://schemas.openxmlformats.org/officeDocument/2006/relationships/hyperlink" Target="https://www.linkedin.com/learning/creating-a-culture-of-change" TargetMode="External"/><Relationship Id="rId604" Type="http://schemas.openxmlformats.org/officeDocument/2006/relationships/hyperlink" Target="https://www.linkedin.com/learning/customer-experience-journey-mapping/empathy-and-emotion" TargetMode="External"/><Relationship Id="rId811" Type="http://schemas.openxmlformats.org/officeDocument/2006/relationships/hyperlink" Target="https://www.linkedin.com/learning/evaluating-business-investment-decisions" TargetMode="External"/><Relationship Id="rId1027" Type="http://schemas.openxmlformats.org/officeDocument/2006/relationships/hyperlink" Target="https://www.linkedin.com/learning/enhancing-team-innovation" TargetMode="External"/><Relationship Id="rId1234" Type="http://schemas.openxmlformats.org/officeDocument/2006/relationships/hyperlink" Target="https://www.linkedin.com/learning/quality-management-foundations" TargetMode="External"/><Relationship Id="rId1441" Type="http://schemas.openxmlformats.org/officeDocument/2006/relationships/hyperlink" Target="https://www.linkedin.com/learning/evaluating-and-evolving-your-business-model" TargetMode="External"/><Relationship Id="rId909" Type="http://schemas.openxmlformats.org/officeDocument/2006/relationships/hyperlink" Target="https://www.linkedin.com/learning/paths/become-a-python-developer" TargetMode="External"/><Relationship Id="rId1301" Type="http://schemas.openxmlformats.org/officeDocument/2006/relationships/hyperlink" Target="https://www.linkedin.com/learning/finding-your-idea-hook" TargetMode="External"/><Relationship Id="rId1539" Type="http://schemas.openxmlformats.org/officeDocument/2006/relationships/hyperlink" Target="https://www.linkedin.com/learning/creating-a-high-performance-culture/components-of-high-performing-cultures" TargetMode="External"/><Relationship Id="rId1746" Type="http://schemas.openxmlformats.org/officeDocument/2006/relationships/hyperlink" Target="https://www.linkedin.com/learning/learning-to-say-no" TargetMode="External"/><Relationship Id="rId38" Type="http://schemas.openxmlformats.org/officeDocument/2006/relationships/hyperlink" Target="https://www.linkedin.com/learning/productivity-principles-to-make-time-for-what-s-important" TargetMode="External"/><Relationship Id="rId1606" Type="http://schemas.openxmlformats.org/officeDocument/2006/relationships/hyperlink" Target="https://www.linkedin.com/learning/own-it-the-power-of-women-at-work" TargetMode="External"/><Relationship Id="rId187" Type="http://schemas.openxmlformats.org/officeDocument/2006/relationships/hyperlink" Target="https://www.linkedin.com/learning/working-in-harmony-as-a-senior-team" TargetMode="External"/><Relationship Id="rId394" Type="http://schemas.openxmlformats.org/officeDocument/2006/relationships/hyperlink" Target="https://www.linkedin.com/learning/market-research-foundations-2019" TargetMode="External"/><Relationship Id="rId254" Type="http://schemas.openxmlformats.org/officeDocument/2006/relationships/hyperlink" Target="https://www.linkedin.com/learning/communication-within-teams" TargetMode="External"/><Relationship Id="rId699" Type="http://schemas.openxmlformats.org/officeDocument/2006/relationships/hyperlink" Target="https://www.linkedin.com/learning/text-analytics-and-predictions-with-r-essential-training" TargetMode="External"/><Relationship Id="rId1091" Type="http://schemas.openxmlformats.org/officeDocument/2006/relationships/hyperlink" Target="https://www.linkedin.com/learning/communicating-internally-during-times-of-uncertainty" TargetMode="External"/><Relationship Id="rId114" Type="http://schemas.openxmlformats.org/officeDocument/2006/relationships/hyperlink" Target="https://www.linkedin.com/learning/how-to-be-adaptable-as-an-employee" TargetMode="External"/><Relationship Id="rId461" Type="http://schemas.openxmlformats.org/officeDocument/2006/relationships/hyperlink" Target="https://www.linkedin.com/learning/growth-hacking-tips" TargetMode="External"/><Relationship Id="rId559" Type="http://schemas.openxmlformats.org/officeDocument/2006/relationships/hyperlink" Target="https://www.linkedin.com/learning/decision-making-in-high-stress-situations" TargetMode="External"/><Relationship Id="rId766" Type="http://schemas.openxmlformats.org/officeDocument/2006/relationships/hyperlink" Target="https://www.linkedin.com/learning/audit-and-due-diligence-foundations" TargetMode="External"/><Relationship Id="rId1189" Type="http://schemas.openxmlformats.org/officeDocument/2006/relationships/hyperlink" Target="https://www.linkedin.com/learning/time-management-for-managers" TargetMode="External"/><Relationship Id="rId1396" Type="http://schemas.openxmlformats.org/officeDocument/2006/relationships/hyperlink" Target="https://www.linkedin.com/learning/engagement-evaluation-best-practices-for-customer-success-management" TargetMode="External"/><Relationship Id="rId321" Type="http://schemas.openxmlformats.org/officeDocument/2006/relationships/hyperlink" Target="https://www.linkedin.com/learning/crisis-communication" TargetMode="External"/><Relationship Id="rId419" Type="http://schemas.openxmlformats.org/officeDocument/2006/relationships/hyperlink" Target="https://www.linkedin.com/learning/affiliate-marketing-foundations-revision-2020" TargetMode="External"/><Relationship Id="rId626" Type="http://schemas.openxmlformats.org/officeDocument/2006/relationships/hyperlink" Target="https://www.linkedin.com/learning/apache-flink-exploratory-data-analytics-with-sql" TargetMode="External"/><Relationship Id="rId973" Type="http://schemas.openxmlformats.org/officeDocument/2006/relationships/hyperlink" Target="https://www.linkedin.com/learning/text-analytics-and-predictions-with-python-essential-training" TargetMode="External"/><Relationship Id="rId1049" Type="http://schemas.openxmlformats.org/officeDocument/2006/relationships/hyperlink" Target="https://www.linkedin.com/learning/paths/leading-others-effectively" TargetMode="External"/><Relationship Id="rId1256" Type="http://schemas.openxmlformats.org/officeDocument/2006/relationships/hyperlink" Target="https://www.linkedin.com/learning/purchasing-foundations" TargetMode="External"/><Relationship Id="rId833" Type="http://schemas.openxmlformats.org/officeDocument/2006/relationships/hyperlink" Target="https://www.linkedin.com/learning/human-resources-protecting-confidentiality" TargetMode="External"/><Relationship Id="rId1116" Type="http://schemas.openxmlformats.org/officeDocument/2006/relationships/hyperlink" Target="https://www.linkedin.com/learning/negotiating-your-leadership-success" TargetMode="External"/><Relationship Id="rId1463" Type="http://schemas.openxmlformats.org/officeDocument/2006/relationships/hyperlink" Target="https://www.linkedin.com/learning/measuring-business-performance" TargetMode="External"/><Relationship Id="rId1670" Type="http://schemas.openxmlformats.org/officeDocument/2006/relationships/hyperlink" Target="https://www.linkedin.com/learning/productivity-hacks-for-writers" TargetMode="External"/><Relationship Id="rId1768" Type="http://schemas.openxmlformats.org/officeDocument/2006/relationships/hyperlink" Target="https://www.linkedin.com/learning/ways-to-build-a-winning-team-trust-freedom-and-play" TargetMode="External"/><Relationship Id="rId900" Type="http://schemas.openxmlformats.org/officeDocument/2006/relationships/hyperlink" Target="https://www.linkedin.com/learning/machine-learning-ai-advanced-decision-trees" TargetMode="External"/><Relationship Id="rId1323" Type="http://schemas.openxmlformats.org/officeDocument/2006/relationships/hyperlink" Target="https://www.linkedin.com/learning/paths/become-a-project-manager" TargetMode="External"/><Relationship Id="rId1530" Type="http://schemas.openxmlformats.org/officeDocument/2006/relationships/hyperlink" Target="https://www.linkedin.com/learning/enhancing-team-innovation" TargetMode="External"/><Relationship Id="rId1628" Type="http://schemas.openxmlformats.org/officeDocument/2006/relationships/hyperlink" Target="https://www.linkedin.com/learning/difficult-conversations-talking-about-race-at-work" TargetMode="External"/><Relationship Id="rId276" Type="http://schemas.openxmlformats.org/officeDocument/2006/relationships/hyperlink" Target="https://www.linkedin.com/learning/how-to-crush-self-doubt-and-build-self-confidence" TargetMode="External"/><Relationship Id="rId483" Type="http://schemas.openxmlformats.org/officeDocument/2006/relationships/hyperlink" Target="https://www.linkedin.com/learning/unlock-your-team-s-creativity" TargetMode="External"/><Relationship Id="rId690" Type="http://schemas.openxmlformats.org/officeDocument/2006/relationships/hyperlink" Target="https://www.linkedin.com/learning/excel-supply-chain-analysis-solving-transportation-problems" TargetMode="External"/><Relationship Id="rId136" Type="http://schemas.openxmlformats.org/officeDocument/2006/relationships/hyperlink" Target="https://www.linkedin.com/learning/paths/managing-performance" TargetMode="External"/><Relationship Id="rId343" Type="http://schemas.openxmlformats.org/officeDocument/2006/relationships/hyperlink" Target="https://www.linkedin.com/learning/how-to-give-negative-feedback-to-senior-colleagues" TargetMode="External"/><Relationship Id="rId550" Type="http://schemas.openxmlformats.org/officeDocument/2006/relationships/hyperlink" Target="https://www.linkedin.com/learning/making-better-decisions-by-thinking-in-bets" TargetMode="External"/><Relationship Id="rId788" Type="http://schemas.openxmlformats.org/officeDocument/2006/relationships/hyperlink" Target="https://www.linkedin.com/learning/corporate-finance-statement-analysis" TargetMode="External"/><Relationship Id="rId995" Type="http://schemas.openxmlformats.org/officeDocument/2006/relationships/hyperlink" Target="https://www.linkedin.com/learning/performing-under-pressure" TargetMode="External"/><Relationship Id="rId1180" Type="http://schemas.openxmlformats.org/officeDocument/2006/relationships/hyperlink" Target="https://www.linkedin.com/learning/developing-executive-presence/do-i-have-to-be-fake" TargetMode="External"/><Relationship Id="rId203" Type="http://schemas.openxmlformats.org/officeDocument/2006/relationships/hyperlink" Target="https://www.linkedin.com/learning/leading-inclusive-teams" TargetMode="External"/><Relationship Id="rId648" Type="http://schemas.openxmlformats.org/officeDocument/2006/relationships/hyperlink" Target="https://www.linkedin.com/learning/learning-data-analytics-2/welcome" TargetMode="External"/><Relationship Id="rId855" Type="http://schemas.openxmlformats.org/officeDocument/2006/relationships/hyperlink" Target="https://www.linkedin.com/learning/bystander-training-from-bystander-to-upstander/supporting-upstanders" TargetMode="External"/><Relationship Id="rId1040" Type="http://schemas.openxmlformats.org/officeDocument/2006/relationships/hyperlink" Target="https://www.linkedin.com/learning/paths/become-a-leader" TargetMode="External"/><Relationship Id="rId1278" Type="http://schemas.openxmlformats.org/officeDocument/2006/relationships/hyperlink" Target="https://www.linkedin.com/learning/overcoming-your-fear-of-public-speaking-2/become-a-confident-speaker" TargetMode="External"/><Relationship Id="rId1485" Type="http://schemas.openxmlformats.org/officeDocument/2006/relationships/hyperlink" Target="https://www.linkedin.com/learning/redefining-workplace-learning-analytics" TargetMode="External"/><Relationship Id="rId1692" Type="http://schemas.openxmlformats.org/officeDocument/2006/relationships/hyperlink" Target="https://www.linkedin.com/learning/overcoming-overwhelm" TargetMode="External"/><Relationship Id="rId410" Type="http://schemas.openxmlformats.org/officeDocument/2006/relationships/hyperlink" Target="https://www.linkedin.com/learning/small-business-marketing-revision-2020" TargetMode="External"/><Relationship Id="rId508" Type="http://schemas.openxmlformats.org/officeDocument/2006/relationships/hyperlink" Target="https://www.linkedin.com/learning/design-thinking-understanding-the-process-revision-2021" TargetMode="External"/><Relationship Id="rId715" Type="http://schemas.openxmlformats.org/officeDocument/2006/relationships/hyperlink" Target="https://www.linkedin.com/learning/postgresql-essential-training" TargetMode="External"/><Relationship Id="rId922" Type="http://schemas.openxmlformats.org/officeDocument/2006/relationships/hyperlink" Target="https://www.linkedin.com/learning/machine-learning-in-mobile-applications" TargetMode="External"/><Relationship Id="rId1138" Type="http://schemas.openxmlformats.org/officeDocument/2006/relationships/hyperlink" Target="https://www.linkedin.com/learning/paths/improve-your-coaching-skills-as-a-manager" TargetMode="External"/><Relationship Id="rId1345" Type="http://schemas.openxmlformats.org/officeDocument/2006/relationships/hyperlink" Target="https://www.linkedin.com/learning/time-management-tips-2019" TargetMode="External"/><Relationship Id="rId1552" Type="http://schemas.openxmlformats.org/officeDocument/2006/relationships/hyperlink" Target="https://www.linkedin.com/learning/performance-management-conducting-performance-reviews" TargetMode="External"/><Relationship Id="rId1205" Type="http://schemas.openxmlformats.org/officeDocument/2006/relationships/hyperlink" Target="https://www.linkedin.com/learning/paths/becoming-a-six-sigma-black-belt" TargetMode="External"/><Relationship Id="rId51" Type="http://schemas.openxmlformats.org/officeDocument/2006/relationships/hyperlink" Target="https://www.linkedin.com/learning/the-five-conversations-that-deliver-accountability-and-performance" TargetMode="External"/><Relationship Id="rId1412" Type="http://schemas.openxmlformats.org/officeDocument/2006/relationships/hyperlink" Target="https://www.linkedin.com/learning/empathy-for-sales-professionals" TargetMode="External"/><Relationship Id="rId1717" Type="http://schemas.openxmlformats.org/officeDocument/2006/relationships/hyperlink" Target="https://www.linkedin.com/learning/developing-your-emotional-intelligence" TargetMode="External"/><Relationship Id="rId298" Type="http://schemas.openxmlformats.org/officeDocument/2006/relationships/hyperlink" Target="https://www.linkedin.com/learning/communicating-internally-during-times-of-uncertainty"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www.linkedin.com/learning/paths/develop-your-creative-thinking-and-innovation-skills" TargetMode="External"/><Relationship Id="rId13" Type="http://schemas.openxmlformats.org/officeDocument/2006/relationships/hyperlink" Target="https://www.linkedin.com/learning/paths/develop-your-finance-and-accounting-skills" TargetMode="External"/><Relationship Id="rId18" Type="http://schemas.openxmlformats.org/officeDocument/2006/relationships/hyperlink" Target="https://www.linkedin.com/learning/paths/managing-others-effectively-3" TargetMode="External"/><Relationship Id="rId26" Type="http://schemas.openxmlformats.org/officeDocument/2006/relationships/hyperlink" Target="https://www.linkedin.com/learning/paths/diversity-inclusion-and-belonging-for-all" TargetMode="External"/><Relationship Id="rId3" Type="http://schemas.openxmlformats.org/officeDocument/2006/relationships/hyperlink" Target="https://www.linkedin.com/learning/paths/building-and-managing-effective-teams" TargetMode="External"/><Relationship Id="rId21" Type="http://schemas.openxmlformats.org/officeDocument/2006/relationships/hyperlink" Target="https://www.linkedin.com/learning/paths/develop-your-project-management-skills" TargetMode="External"/><Relationship Id="rId7" Type="http://schemas.openxmlformats.org/officeDocument/2006/relationships/hyperlink" Target="https://www.linkedin.com/learning/paths/develop-your-marketing-skills" TargetMode="External"/><Relationship Id="rId12" Type="http://schemas.openxmlformats.org/officeDocument/2006/relationships/hyperlink" Target="https://www.linkedin.com/learning/paths/develop-your-course-design-and-instructional-skills" TargetMode="External"/><Relationship Id="rId17" Type="http://schemas.openxmlformats.org/officeDocument/2006/relationships/hyperlink" Target="https://www.linkedin.com/learning/paths/leading-others-effectively" TargetMode="External"/><Relationship Id="rId25" Type="http://schemas.openxmlformats.org/officeDocument/2006/relationships/hyperlink" Target="https://www.linkedin.com/learning/paths/develop-motivate-and-retain-employees" TargetMode="External"/><Relationship Id="rId2" Type="http://schemas.openxmlformats.org/officeDocument/2006/relationships/hyperlink" Target="https://www.linkedin.com/learning/paths/manage-change-and-develop-your-adaptability-skills" TargetMode="External"/><Relationship Id="rId16" Type="http://schemas.openxmlformats.org/officeDocument/2006/relationships/hyperlink" Target="https://www.linkedin.com/learning/paths/leading-during-times-of-change" TargetMode="External"/><Relationship Id="rId20" Type="http://schemas.openxmlformats.org/officeDocument/2006/relationships/hyperlink" Target="https://www.linkedin.com/learning/paths/develop-your-presentation-skills" TargetMode="External"/><Relationship Id="rId29" Type="http://schemas.openxmlformats.org/officeDocument/2006/relationships/drawing" Target="../drawings/drawing2.xml"/><Relationship Id="rId1" Type="http://schemas.openxmlformats.org/officeDocument/2006/relationships/hyperlink" Target="https://www.linkedin.com/learning/paths/building-accountability-and-becoming-results-oriented" TargetMode="External"/><Relationship Id="rId6" Type="http://schemas.openxmlformats.org/officeDocument/2006/relationships/hyperlink" Target="https://www.linkedin.com/learning/paths/develop-conflict-management-and-resolution-skills" TargetMode="External"/><Relationship Id="rId11" Type="http://schemas.openxmlformats.org/officeDocument/2006/relationships/hyperlink" Target="https://www.linkedin.com/learning/paths/develop-your-data-analysis-skills" TargetMode="External"/><Relationship Id="rId24" Type="http://schemas.openxmlformats.org/officeDocument/2006/relationships/hyperlink" Target="https://www.linkedin.com/learning/paths/recruit-and-maximize-talent" TargetMode="External"/><Relationship Id="rId5" Type="http://schemas.openxmlformats.org/officeDocument/2006/relationships/hyperlink" Target="https://www.linkedin.com/learning/paths/develop-your-communication-skills-and-interpersonal-influence" TargetMode="External"/><Relationship Id="rId15" Type="http://schemas.openxmlformats.org/officeDocument/2006/relationships/hyperlink" Target="https://www.linkedin.com/learning/paths/master-the-fundamentals-of-ai-and-machine-learning" TargetMode="External"/><Relationship Id="rId23" Type="http://schemas.openxmlformats.org/officeDocument/2006/relationships/hyperlink" Target="https://www.linkedin.com/learning/paths/develop-your-strategic-planning-skills" TargetMode="External"/><Relationship Id="rId28" Type="http://schemas.openxmlformats.org/officeDocument/2006/relationships/hyperlink" Target="https://www.linkedin.com/learning/paths/support-your-mental-health-during-challenging-times" TargetMode="External"/><Relationship Id="rId10" Type="http://schemas.openxmlformats.org/officeDocument/2006/relationships/hyperlink" Target="https://www.linkedin.com/learning/paths/develop-your-customer-service-skills" TargetMode="External"/><Relationship Id="rId19" Type="http://schemas.openxmlformats.org/officeDocument/2006/relationships/hyperlink" Target="https://www.linkedin.com/learning/paths/improve-processes-and-deliver-operational-excellence" TargetMode="External"/><Relationship Id="rId4" Type="http://schemas.openxmlformats.org/officeDocument/2006/relationships/hyperlink" Target="https://www.linkedin.com/learning/paths/building-trust-and-collaborating-with-others-2" TargetMode="External"/><Relationship Id="rId9" Type="http://schemas.openxmlformats.org/officeDocument/2006/relationships/hyperlink" Target="https://www.linkedin.com/learning/paths/develop-critical-thinking-decision-making-and-problem-solving-skills" TargetMode="External"/><Relationship Id="rId14" Type="http://schemas.openxmlformats.org/officeDocument/2006/relationships/hyperlink" Target="https://www.linkedin.com/learning/paths/develop-your-hr-management-and-leadership-skills" TargetMode="External"/><Relationship Id="rId22" Type="http://schemas.openxmlformats.org/officeDocument/2006/relationships/hyperlink" Target="https://www.linkedin.com/learning/paths/develop-your-sales-knowledge-and-skills" TargetMode="External"/><Relationship Id="rId27" Type="http://schemas.openxmlformats.org/officeDocument/2006/relationships/hyperlink" Target="https://www.linkedin.com/learning/paths/develop-your-writing-skills"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s://www.linkedin.com/learning/building-high-performance-teams" TargetMode="External"/><Relationship Id="rId21" Type="http://schemas.openxmlformats.org/officeDocument/2006/relationships/hyperlink" Target="https://www.linkedin.com/learning/negotiating-work-flexibility" TargetMode="External"/><Relationship Id="rId42" Type="http://schemas.openxmlformats.org/officeDocument/2006/relationships/hyperlink" Target="https://www.linkedin.com/learning/motivating-your-team-to-learn" TargetMode="External"/><Relationship Id="rId63" Type="http://schemas.openxmlformats.org/officeDocument/2006/relationships/hyperlink" Target="https://www.linkedin.com/learning/creating-a-culture-of-learning-2020" TargetMode="External"/><Relationship Id="rId84" Type="http://schemas.openxmlformats.org/officeDocument/2006/relationships/hyperlink" Target="https://www.linkedin.com/learning/managing-virtual-teams-4" TargetMode="External"/><Relationship Id="rId138" Type="http://schemas.openxmlformats.org/officeDocument/2006/relationships/hyperlink" Target="https://www.linkedin.com/learning/building-better-routines" TargetMode="External"/><Relationship Id="rId159" Type="http://schemas.openxmlformats.org/officeDocument/2006/relationships/hyperlink" Target="https://www.linkedin.com/learning/the-five-conversations-that-deliver-accountability-and-performance" TargetMode="External"/><Relationship Id="rId170" Type="http://schemas.openxmlformats.org/officeDocument/2006/relationships/hyperlink" Target="https://www.linkedin.com/learning/personal-effectiveness-tips" TargetMode="External"/><Relationship Id="rId191" Type="http://schemas.openxmlformats.org/officeDocument/2006/relationships/hyperlink" Target="https://www.linkedin.com/learning/mastering-self-leadership" TargetMode="External"/><Relationship Id="rId107" Type="http://schemas.openxmlformats.org/officeDocument/2006/relationships/hyperlink" Target="https://www.linkedin.com/learning/managing-stress-for-positive-change/how-to-use-this-course" TargetMode="External"/><Relationship Id="rId11" Type="http://schemas.openxmlformats.org/officeDocument/2006/relationships/hyperlink" Target="https://www.linkedin.com/learning/work-on-purpose" TargetMode="External"/><Relationship Id="rId32" Type="http://schemas.openxmlformats.org/officeDocument/2006/relationships/hyperlink" Target="https://www.linkedin.com/learning/learning-from-failure" TargetMode="External"/><Relationship Id="rId53" Type="http://schemas.openxmlformats.org/officeDocument/2006/relationships/hyperlink" Target="https://www.linkedin.com/learning/enhancing-resilience" TargetMode="External"/><Relationship Id="rId74" Type="http://schemas.openxmlformats.org/officeDocument/2006/relationships/hyperlink" Target="https://www.linkedin.com/learning/get-unstuck-from-a-career-rut" TargetMode="External"/><Relationship Id="rId128" Type="http://schemas.openxmlformats.org/officeDocument/2006/relationships/hyperlink" Target="https://www.linkedin.com/learning/leading-and-working-in-teams" TargetMode="External"/><Relationship Id="rId149" Type="http://schemas.openxmlformats.org/officeDocument/2006/relationships/hyperlink" Target="https://www.linkedin.com/learning/managing-for-better-ideas" TargetMode="External"/><Relationship Id="rId5" Type="http://schemas.openxmlformats.org/officeDocument/2006/relationships/hyperlink" Target="https://www.linkedin.com/learning/creating-a-high-performance-culture/components-of-high-performing-cultures" TargetMode="External"/><Relationship Id="rId95" Type="http://schemas.openxmlformats.org/officeDocument/2006/relationships/hyperlink" Target="https://www.linkedin.com/learning/project-audio-highlights-2020" TargetMode="External"/><Relationship Id="rId160" Type="http://schemas.openxmlformats.org/officeDocument/2006/relationships/hyperlink" Target="https://www.linkedin.com/learning/leaders-make-your-teams-more-agile-creative-and-united" TargetMode="External"/><Relationship Id="rId181" Type="http://schemas.openxmlformats.org/officeDocument/2006/relationships/hyperlink" Target="https://www.linkedin.com/learning/the-rules-of-work-getabstract-summary" TargetMode="External"/><Relationship Id="rId22" Type="http://schemas.openxmlformats.org/officeDocument/2006/relationships/hyperlink" Target="https://www.linkedin.com/learning/building-your-team" TargetMode="External"/><Relationship Id="rId43" Type="http://schemas.openxmlformats.org/officeDocument/2006/relationships/hyperlink" Target="https://www.linkedin.com/learning/fred-kofman-on-making-commitments" TargetMode="External"/><Relationship Id="rId64" Type="http://schemas.openxmlformats.org/officeDocument/2006/relationships/hyperlink" Target="https://www.linkedin.com/learning/overcoming-procrastination-2" TargetMode="External"/><Relationship Id="rId118" Type="http://schemas.openxmlformats.org/officeDocument/2006/relationships/hyperlink" Target="https://www.linkedin.com/learning/how-to-slow-down-and-be-more-productive" TargetMode="External"/><Relationship Id="rId139" Type="http://schemas.openxmlformats.org/officeDocument/2006/relationships/hyperlink" Target="https://www.linkedin.com/learning/developing-adaptable-managers" TargetMode="External"/><Relationship Id="rId85" Type="http://schemas.openxmlformats.org/officeDocument/2006/relationships/hyperlink" Target="https://www.linkedin.com/learning/proven-tips-for-managing-your-time-2019" TargetMode="External"/><Relationship Id="rId150" Type="http://schemas.openxmlformats.org/officeDocument/2006/relationships/hyperlink" Target="https://www.linkedin.com/learning/unlocking-your-potential" TargetMode="External"/><Relationship Id="rId171" Type="http://schemas.openxmlformats.org/officeDocument/2006/relationships/hyperlink" Target="https://www.linkedin.com/learning/powerless-to-powerful-taking-control" TargetMode="External"/><Relationship Id="rId192" Type="http://schemas.openxmlformats.org/officeDocument/2006/relationships/hyperlink" Target="https://www.linkedin.com/learning/managing-up-virtually-as-an-employee" TargetMode="External"/><Relationship Id="rId12" Type="http://schemas.openxmlformats.org/officeDocument/2006/relationships/hyperlink" Target="https://www.linkedin.com/learning/paths/improve-your-teamwork-skills" TargetMode="External"/><Relationship Id="rId33" Type="http://schemas.openxmlformats.org/officeDocument/2006/relationships/hyperlink" Target="https://www.linkedin.com/learning/setting-team-and-employee-goals" TargetMode="External"/><Relationship Id="rId108" Type="http://schemas.openxmlformats.org/officeDocument/2006/relationships/hyperlink" Target="https://www.linkedin.com/learning/foundations-of-team-collaboration" TargetMode="External"/><Relationship Id="rId129" Type="http://schemas.openxmlformats.org/officeDocument/2006/relationships/hyperlink" Target="https://www.linkedin.com/learning/subtle-shifts-in-thinking-for-tremendous-resilience" TargetMode="External"/><Relationship Id="rId54" Type="http://schemas.openxmlformats.org/officeDocument/2006/relationships/hyperlink" Target="https://www.linkedin.com/learning/how-to-give-and-receive-useful-feedback-every-month" TargetMode="External"/><Relationship Id="rId75" Type="http://schemas.openxmlformats.org/officeDocument/2006/relationships/hyperlink" Target="https://www.linkedin.com/learning/coaching-and-developing-employees-4" TargetMode="External"/><Relationship Id="rId96" Type="http://schemas.openxmlformats.org/officeDocument/2006/relationships/hyperlink" Target="https://www.linkedin.com/learning/why-motivating-people-doesn-t-work-and-what-does-getabstract-summary" TargetMode="External"/><Relationship Id="rId140" Type="http://schemas.openxmlformats.org/officeDocument/2006/relationships/hyperlink" Target="https://www.linkedin.com/learning/measuring-team-performance" TargetMode="External"/><Relationship Id="rId161" Type="http://schemas.openxmlformats.org/officeDocument/2006/relationships/hyperlink" Target="https://www.linkedin.com/learning/creating-winning-teams" TargetMode="External"/><Relationship Id="rId182" Type="http://schemas.openxmlformats.org/officeDocument/2006/relationships/hyperlink" Target="https://www.linkedin.com/learning/what-to-do-when-there-s-too-much-to-do-getabstract-summary" TargetMode="External"/><Relationship Id="rId6" Type="http://schemas.openxmlformats.org/officeDocument/2006/relationships/hyperlink" Target="https://www.linkedin.com/learning/paths/improve-your-coaching-skills-as-a-manager?u=104" TargetMode="External"/><Relationship Id="rId23" Type="http://schemas.openxmlformats.org/officeDocument/2006/relationships/hyperlink" Target="https://www.linkedin.com/learning/paths/build-and-manage-effective-teams" TargetMode="External"/><Relationship Id="rId119" Type="http://schemas.openxmlformats.org/officeDocument/2006/relationships/hyperlink" Target="https://www.linkedin.com/learning/balancing-work-and-life-as-a-work-from-home-parent" TargetMode="External"/><Relationship Id="rId44" Type="http://schemas.openxmlformats.org/officeDocument/2006/relationships/hyperlink" Target="https://www.linkedin.com/learning/learning-agility" TargetMode="External"/><Relationship Id="rId65" Type="http://schemas.openxmlformats.org/officeDocument/2006/relationships/hyperlink" Target="https://www.linkedin.com/learning/managing-stress-2019" TargetMode="External"/><Relationship Id="rId86" Type="http://schemas.openxmlformats.org/officeDocument/2006/relationships/hyperlink" Target="https://www.linkedin.com/learning/embracing-unexpected-change" TargetMode="External"/><Relationship Id="rId130" Type="http://schemas.openxmlformats.org/officeDocument/2006/relationships/hyperlink" Target="https://www.linkedin.com/learning/change-management-foundations/welcome" TargetMode="External"/><Relationship Id="rId151" Type="http://schemas.openxmlformats.org/officeDocument/2006/relationships/hyperlink" Target="https://www.linkedin.com/learning/cultivating-mental-agility" TargetMode="External"/><Relationship Id="rId172" Type="http://schemas.openxmlformats.org/officeDocument/2006/relationships/hyperlink" Target="https://www.linkedin.com/learning/prioritizing-your-tasks" TargetMode="External"/><Relationship Id="rId13" Type="http://schemas.openxmlformats.org/officeDocument/2006/relationships/hyperlink" Target="https://www.linkedin.com/learning/building-resilience/welcome" TargetMode="External"/><Relationship Id="rId18" Type="http://schemas.openxmlformats.org/officeDocument/2006/relationships/hyperlink" Target="https://www.linkedin.com/learning/paths/managing-performance" TargetMode="External"/><Relationship Id="rId39" Type="http://schemas.openxmlformats.org/officeDocument/2006/relationships/hyperlink" Target="https://www.linkedin.com/learning/top-of-mind-use-content-to-unleash-your-influence-getabstract-summary" TargetMode="External"/><Relationship Id="rId109" Type="http://schemas.openxmlformats.org/officeDocument/2006/relationships/hyperlink" Target="https://www.linkedin.com/learning/productivity-tips-taking-control-of-email-2019" TargetMode="External"/><Relationship Id="rId34" Type="http://schemas.openxmlformats.org/officeDocument/2006/relationships/hyperlink" Target="https://www.linkedin.com/learning/enhancing-resilience" TargetMode="External"/><Relationship Id="rId50" Type="http://schemas.openxmlformats.org/officeDocument/2006/relationships/hyperlink" Target="https://www.linkedin.com/learning/sheryl-sandberg-and-adam-grant-on-option-b-building-resilience" TargetMode="External"/><Relationship Id="rId55" Type="http://schemas.openxmlformats.org/officeDocument/2006/relationships/hyperlink" Target="https://www.linkedin.com/learning/improving-your-focus/understand-the-two-facets-of-focus" TargetMode="External"/><Relationship Id="rId76" Type="http://schemas.openxmlformats.org/officeDocument/2006/relationships/hyperlink" Target="https://www.linkedin.com/learning/solving-business-problems" TargetMode="External"/><Relationship Id="rId97" Type="http://schemas.openxmlformats.org/officeDocument/2006/relationships/hyperlink" Target="https://www.linkedin.com/learning/productivity-tips-finding-your-rhythm-2020" TargetMode="External"/><Relationship Id="rId104" Type="http://schemas.openxmlformats.org/officeDocument/2006/relationships/hyperlink" Target="https://www.linkedin.com/learning/developing-adaptable-employees" TargetMode="External"/><Relationship Id="rId120" Type="http://schemas.openxmlformats.org/officeDocument/2006/relationships/hyperlink" Target="https://www.linkedin.com/learning/developing-your-team-members" TargetMode="External"/><Relationship Id="rId125" Type="http://schemas.openxmlformats.org/officeDocument/2006/relationships/hyperlink" Target="https://www.linkedin.com/learning/facilitation-skills-for-managers-and-leaders" TargetMode="External"/><Relationship Id="rId141" Type="http://schemas.openxmlformats.org/officeDocument/2006/relationships/hyperlink" Target="https://www.linkedin.com/learning/making-change-last" TargetMode="External"/><Relationship Id="rId146" Type="http://schemas.openxmlformats.org/officeDocument/2006/relationships/hyperlink" Target="https://www.linkedin.com/learning/having-career-conversations-with-your-team-members" TargetMode="External"/><Relationship Id="rId167" Type="http://schemas.openxmlformats.org/officeDocument/2006/relationships/hyperlink" Target="https://www.linkedin.com/learning/components-of-effective-learning" TargetMode="External"/><Relationship Id="rId188" Type="http://schemas.openxmlformats.org/officeDocument/2006/relationships/hyperlink" Target="https://www.linkedin.com/learning/working-from-home-strategies-for-success" TargetMode="External"/><Relationship Id="rId7" Type="http://schemas.openxmlformats.org/officeDocument/2006/relationships/hyperlink" Target="http://www.linkedin.com/learning/be-more-productive-take-small-steps-have-big-goals/gretchen-rubin-on-the-four-pillars-of-habit-formation" TargetMode="External"/><Relationship Id="rId71" Type="http://schemas.openxmlformats.org/officeDocument/2006/relationships/hyperlink" Target="https://www.linkedin.com/learning/avoiding-burnout-2019" TargetMode="External"/><Relationship Id="rId92" Type="http://schemas.openxmlformats.org/officeDocument/2006/relationships/hyperlink" Target="https://www.linkedin.com/learning/real-estate-developing-a-growth-mindset" TargetMode="External"/><Relationship Id="rId162" Type="http://schemas.openxmlformats.org/officeDocument/2006/relationships/hyperlink" Target="https://www.linkedin.com/learning/time-management-for-busy-people" TargetMode="External"/><Relationship Id="rId183" Type="http://schemas.openxmlformats.org/officeDocument/2006/relationships/hyperlink" Target="https://www.linkedin.com/learning/improving-the-value-of-your-time-2019" TargetMode="External"/><Relationship Id="rId2" Type="http://schemas.openxmlformats.org/officeDocument/2006/relationships/hyperlink" Target="https://www.linkedin.com/learning/paths/improve-your-organizational-skills" TargetMode="External"/><Relationship Id="rId29" Type="http://schemas.openxmlformats.org/officeDocument/2006/relationships/hyperlink" Target="https://www.linkedin.com/learning/building-resilience" TargetMode="External"/><Relationship Id="rId24" Type="http://schemas.openxmlformats.org/officeDocument/2006/relationships/hyperlink" Target="https://www.linkedin.com/learning/developing-a-learning-mindset" TargetMode="External"/><Relationship Id="rId40" Type="http://schemas.openxmlformats.org/officeDocument/2006/relationships/hyperlink" Target="https://www.linkedin.com/learning/fred-kofman-on-accountability/welcome" TargetMode="External"/><Relationship Id="rId45" Type="http://schemas.openxmlformats.org/officeDocument/2006/relationships/hyperlink" Target="https://www.linkedin.com/learning/culture-of-kaizen" TargetMode="External"/><Relationship Id="rId66" Type="http://schemas.openxmlformats.org/officeDocument/2006/relationships/hyperlink" Target="https://www.linkedin.com/learning/leading-remote-projects-and-virtual-teams" TargetMode="External"/><Relationship Id="rId87" Type="http://schemas.openxmlformats.org/officeDocument/2006/relationships/hyperlink" Target="https://www.linkedin.com/learning/motivating-and-engaging-employees-2/welcome" TargetMode="External"/><Relationship Id="rId110" Type="http://schemas.openxmlformats.org/officeDocument/2006/relationships/hyperlink" Target="https://www.linkedin.com/learning/crunch-time-how-to-be-your-best-when-it-matters-most-getabstract-summary" TargetMode="External"/><Relationship Id="rId115" Type="http://schemas.openxmlformats.org/officeDocument/2006/relationships/hyperlink" Target="https://www.linkedin.com/learning/15-secrets-successful-people-know-about-time-management-getabstract-summary" TargetMode="External"/><Relationship Id="rId131" Type="http://schemas.openxmlformats.org/officeDocument/2006/relationships/hyperlink" Target="https://www.linkedin.com/learning/managing-a-cross-functional-team" TargetMode="External"/><Relationship Id="rId136" Type="http://schemas.openxmlformats.org/officeDocument/2006/relationships/hyperlink" Target="https://www.linkedin.com/learning/communicating-in-times-of-change/welcome" TargetMode="External"/><Relationship Id="rId157" Type="http://schemas.openxmlformats.org/officeDocument/2006/relationships/hyperlink" Target="https://www.linkedin.com/learning/your-l-d-organization-as-a-competitive-advantage/flexibility-and-adaptability" TargetMode="External"/><Relationship Id="rId178" Type="http://schemas.openxmlformats.org/officeDocument/2006/relationships/hyperlink" Target="https://www.linkedin.com/learning/building-accountability-into-your-culture/welcome" TargetMode="External"/><Relationship Id="rId61" Type="http://schemas.openxmlformats.org/officeDocument/2006/relationships/hyperlink" Target="https://www.linkedin.com/learning/monday-productivity-pointers" TargetMode="External"/><Relationship Id="rId82" Type="http://schemas.openxmlformats.org/officeDocument/2006/relationships/hyperlink" Target="https://www.linkedin.com/learning/tony-schwartz-on-managing-your-energy-for-sustainable-high-performance/about-energy-management" TargetMode="External"/><Relationship Id="rId152" Type="http://schemas.openxmlformats.org/officeDocument/2006/relationships/hyperlink" Target="https://www.linkedin.com/learning/building-and-managing-a-high-performing-sales-team" TargetMode="External"/><Relationship Id="rId173" Type="http://schemas.openxmlformats.org/officeDocument/2006/relationships/hyperlink" Target="https://www.linkedin.com/learning/building-resilience-as-a-leader" TargetMode="External"/><Relationship Id="rId19" Type="http://schemas.openxmlformats.org/officeDocument/2006/relationships/hyperlink" Target="https://www.linkedin.com/learning/delivering-results-effectively/what-does-it-mean-to-deliver-results" TargetMode="External"/><Relationship Id="rId14" Type="http://schemas.openxmlformats.org/officeDocument/2006/relationships/hyperlink" Target="https://www.linkedin.com/learning/paths/remote-working-setting-yourself-and-your-teams-up-for-success" TargetMode="External"/><Relationship Id="rId30" Type="http://schemas.openxmlformats.org/officeDocument/2006/relationships/hyperlink" Target="https://www.linkedin.com/learning/leading-inclusive-teams" TargetMode="External"/><Relationship Id="rId35" Type="http://schemas.openxmlformats.org/officeDocument/2006/relationships/hyperlink" Target="https://www.linkedin.com/learning/critical-thinking" TargetMode="External"/><Relationship Id="rId56" Type="http://schemas.openxmlformats.org/officeDocument/2006/relationships/hyperlink" Target="https://www.linkedin.com/learning/cultivating-a-growth-mindset" TargetMode="External"/><Relationship Id="rId77" Type="http://schemas.openxmlformats.org/officeDocument/2006/relationships/hyperlink" Target="https://www.linkedin.com/learning/agile-software-development-creating-an-agile-culture" TargetMode="External"/><Relationship Id="rId100" Type="http://schemas.openxmlformats.org/officeDocument/2006/relationships/hyperlink" Target="https://www.linkedin.com/learning/productivity-tips-using-technology-2020" TargetMode="External"/><Relationship Id="rId105" Type="http://schemas.openxmlformats.org/officeDocument/2006/relationships/hyperlink" Target="https://www.linkedin.com/learning/supporting-the-whole-self-at-work-a-diversity-and-inclusion-imperative" TargetMode="External"/><Relationship Id="rId126" Type="http://schemas.openxmlformats.org/officeDocument/2006/relationships/hyperlink" Target="https://www.linkedin.com/learning/time-management-tips-communication-2019" TargetMode="External"/><Relationship Id="rId147" Type="http://schemas.openxmlformats.org/officeDocument/2006/relationships/hyperlink" Target="https://www.linkedin.com/learning/dealing-with-disappointment-in-your-role" TargetMode="External"/><Relationship Id="rId168" Type="http://schemas.openxmlformats.org/officeDocument/2006/relationships/hyperlink" Target="https://www.linkedin.com/learning/mixtape-learning-highlights-on-personal-effectiveness" TargetMode="External"/><Relationship Id="rId8" Type="http://schemas.openxmlformats.org/officeDocument/2006/relationships/hyperlink" Target="https://www.linkedin.com/learning/paths/become-a-high-performer-2" TargetMode="External"/><Relationship Id="rId51" Type="http://schemas.openxmlformats.org/officeDocument/2006/relationships/hyperlink" Target="https://www.linkedin.com/learning/dealing-with-the-seven-deadly-wastes" TargetMode="External"/><Relationship Id="rId72" Type="http://schemas.openxmlformats.org/officeDocument/2006/relationships/hyperlink" Target="https://www.linkedin.com/learning/leading-virtual-meetings" TargetMode="External"/><Relationship Id="rId93" Type="http://schemas.openxmlformats.org/officeDocument/2006/relationships/hyperlink" Target="https://www.linkedin.com/learning/a-great-place-to-work-for-all-getabstract-summary" TargetMode="External"/><Relationship Id="rId98" Type="http://schemas.openxmlformats.org/officeDocument/2006/relationships/hyperlink" Target="https://www.linkedin.com/learning/powerless-to-powerful-taking-control" TargetMode="External"/><Relationship Id="rId121" Type="http://schemas.openxmlformats.org/officeDocument/2006/relationships/hyperlink" Target="https://www.linkedin.com/learning/productivity-principles-to-make-time-for-what-s-important" TargetMode="External"/><Relationship Id="rId142" Type="http://schemas.openxmlformats.org/officeDocument/2006/relationships/hyperlink" Target="https://www.linkedin.com/learning/taking-charge-of-technology-for-maximum-productivity/creativity" TargetMode="External"/><Relationship Id="rId163" Type="http://schemas.openxmlformats.org/officeDocument/2006/relationships/hyperlink" Target="https://www.linkedin.com/learning/leading-your-team-through-change" TargetMode="External"/><Relationship Id="rId184" Type="http://schemas.openxmlformats.org/officeDocument/2006/relationships/hyperlink" Target="https://www.linkedin.com/learning/balancing-work-and-life-as-a-work-from-home-parent" TargetMode="External"/><Relationship Id="rId189" Type="http://schemas.openxmlformats.org/officeDocument/2006/relationships/hyperlink" Target="https://www.linkedin.com/learning/the-power-of-lists-to-get-stuff-done" TargetMode="External"/><Relationship Id="rId3" Type="http://schemas.openxmlformats.org/officeDocument/2006/relationships/hyperlink" Target="https://www.linkedin.com/learning/creating-a-culture-of-change" TargetMode="External"/><Relationship Id="rId25" Type="http://schemas.openxmlformats.org/officeDocument/2006/relationships/hyperlink" Target="https://www.linkedin.com/learning/business-innovation-foundations" TargetMode="External"/><Relationship Id="rId46" Type="http://schemas.openxmlformats.org/officeDocument/2006/relationships/hyperlink" Target="https://www.linkedin.com/learning/gaining-skills-with-linkedin-learning-2019" TargetMode="External"/><Relationship Id="rId67" Type="http://schemas.openxmlformats.org/officeDocument/2006/relationships/hyperlink" Target="https://www.linkedin.com/learning/performing-under-pressure" TargetMode="External"/><Relationship Id="rId116" Type="http://schemas.openxmlformats.org/officeDocument/2006/relationships/hyperlink" Target="https://www.linkedin.com/learning/what-is-scrum" TargetMode="External"/><Relationship Id="rId137" Type="http://schemas.openxmlformats.org/officeDocument/2006/relationships/hyperlink" Target="https://www.linkedin.com/learning/managing-team-conflict" TargetMode="External"/><Relationship Id="rId158" Type="http://schemas.openxmlformats.org/officeDocument/2006/relationships/hyperlink" Target="https://www.linkedin.com/learning/the-surprising-science-of-meetings-getabstract-summary" TargetMode="External"/><Relationship Id="rId20" Type="http://schemas.openxmlformats.org/officeDocument/2006/relationships/hyperlink" Target="https://www.linkedin.com/learning/paths/building-accountability-and-becoming-results-oriented" TargetMode="External"/><Relationship Id="rId41" Type="http://schemas.openxmlformats.org/officeDocument/2006/relationships/hyperlink" Target="https://www.linkedin.com/learning/performing-under-pressure" TargetMode="External"/><Relationship Id="rId62" Type="http://schemas.openxmlformats.org/officeDocument/2006/relationships/hyperlink" Target="https://www.linkedin.com/learning/unlock-your-team-s-creativity" TargetMode="External"/><Relationship Id="rId83" Type="http://schemas.openxmlformats.org/officeDocument/2006/relationships/hyperlink" Target="https://www.linkedin.com/learning/managing-self-doubt-to-tackle-bigger-challenges" TargetMode="External"/><Relationship Id="rId88" Type="http://schemas.openxmlformats.org/officeDocument/2006/relationships/hyperlink" Target="https://www.linkedin.com/learning/time-management-tips-2019" TargetMode="External"/><Relationship Id="rId111" Type="http://schemas.openxmlformats.org/officeDocument/2006/relationships/hyperlink" Target="https://www.linkedin.com/learning/managing-remote-teams-setting-expectations-behaviors-and-habits" TargetMode="External"/><Relationship Id="rId132" Type="http://schemas.openxmlformats.org/officeDocument/2006/relationships/hyperlink" Target="https://www.linkedin.com/learning/productivity-prioritizing-at-work" TargetMode="External"/><Relationship Id="rId153" Type="http://schemas.openxmlformats.org/officeDocument/2006/relationships/hyperlink" Target="https://www.linkedin.com/learning/prioritizing-tasks-for-maximum-impact" TargetMode="External"/><Relationship Id="rId174" Type="http://schemas.openxmlformats.org/officeDocument/2006/relationships/hyperlink" Target="https://www.linkedin.com/learning/time-tested-methods-for-making-complex-decisions" TargetMode="External"/><Relationship Id="rId179" Type="http://schemas.openxmlformats.org/officeDocument/2006/relationships/hyperlink" Target="https://www.linkedin.com/learning/using-microsoft-teams-and-outlook-together-maximizing-productivity" TargetMode="External"/><Relationship Id="rId190" Type="http://schemas.openxmlformats.org/officeDocument/2006/relationships/hyperlink" Target="https://www.linkedin.com/learning/asking-for-feedback-as-an-employee" TargetMode="External"/><Relationship Id="rId15" Type="http://schemas.openxmlformats.org/officeDocument/2006/relationships/hyperlink" Target="https://www.linkedin.com/learning/how-to-slash-anxiety-and-keep-positivity-flowing" TargetMode="External"/><Relationship Id="rId36" Type="http://schemas.openxmlformats.org/officeDocument/2006/relationships/hyperlink" Target="https://www.linkedin.com/learning/shane-snow-on-dream-teams" TargetMode="External"/><Relationship Id="rId57" Type="http://schemas.openxmlformats.org/officeDocument/2006/relationships/hyperlink" Target="https://www.linkedin.com/learning/the-six-morning-habits-of-high-performers" TargetMode="External"/><Relationship Id="rId106" Type="http://schemas.openxmlformats.org/officeDocument/2006/relationships/hyperlink" Target="https://www.linkedin.com/learning/productivity-tips-setting-up-your-workplace" TargetMode="External"/><Relationship Id="rId127" Type="http://schemas.openxmlformats.org/officeDocument/2006/relationships/hyperlink" Target="https://www.linkedin.com/learning/working-from-home-strategies-for-success" TargetMode="External"/><Relationship Id="rId10" Type="http://schemas.openxmlformats.org/officeDocument/2006/relationships/hyperlink" Target="https://www.linkedin.com/learning/paths/master-in-demand-professional-soft-skills" TargetMode="External"/><Relationship Id="rId31" Type="http://schemas.openxmlformats.org/officeDocument/2006/relationships/hyperlink" Target="https://www.linkedin.com/learning/efficient-time-management/welcome" TargetMode="External"/><Relationship Id="rId52" Type="http://schemas.openxmlformats.org/officeDocument/2006/relationships/hyperlink" Target="https://www.linkedin.com/learning/holding-yourself-accountable" TargetMode="External"/><Relationship Id="rId73" Type="http://schemas.openxmlformats.org/officeDocument/2006/relationships/hyperlink" Target="https://www.linkedin.com/learning/sheryl-sandberg-and-adam-grant-on-option-b-building-resilience" TargetMode="External"/><Relationship Id="rId78" Type="http://schemas.openxmlformats.org/officeDocument/2006/relationships/hyperlink" Target="https://www.linkedin.com/learning/improving-employee-performance" TargetMode="External"/><Relationship Id="rId94" Type="http://schemas.openxmlformats.org/officeDocument/2006/relationships/hyperlink" Target="https://www.linkedin.com/learning/time-management-tips-following-through-2019" TargetMode="External"/><Relationship Id="rId99" Type="http://schemas.openxmlformats.org/officeDocument/2006/relationships/hyperlink" Target="https://www.linkedin.com/learning/business-chemistry-blinkist-summary" TargetMode="External"/><Relationship Id="rId101" Type="http://schemas.openxmlformats.org/officeDocument/2006/relationships/hyperlink" Target="https://www.linkedin.com/learning/handling-workplace-change-as-an-employee" TargetMode="External"/><Relationship Id="rId122" Type="http://schemas.openxmlformats.org/officeDocument/2006/relationships/hyperlink" Target="https://www.linkedin.com/learning/managing-career-burnout" TargetMode="External"/><Relationship Id="rId143" Type="http://schemas.openxmlformats.org/officeDocument/2006/relationships/hyperlink" Target="https://www.linkedin.com/learning/practicing-fairness-as-a-manager" TargetMode="External"/><Relationship Id="rId148" Type="http://schemas.openxmlformats.org/officeDocument/2006/relationships/hyperlink" Target="https://www.linkedin.com/learning/managing-organizational-change-for-managers" TargetMode="External"/><Relationship Id="rId164" Type="http://schemas.openxmlformats.org/officeDocument/2006/relationships/hyperlink" Target="https://www.linkedin.com/learning/creating-an-adaptable-team" TargetMode="External"/><Relationship Id="rId169" Type="http://schemas.openxmlformats.org/officeDocument/2006/relationships/hyperlink" Target="https://www.linkedin.com/learning/goal-setting-objectives-and-key-results-okrs" TargetMode="External"/><Relationship Id="rId185" Type="http://schemas.openxmlformats.org/officeDocument/2006/relationships/hyperlink" Target="https://www.linkedin.com/learning/business-ethics-2019" TargetMode="External"/><Relationship Id="rId4" Type="http://schemas.openxmlformats.org/officeDocument/2006/relationships/hyperlink" Target="https://www.linkedin.com/learning/paths/managing-change" TargetMode="External"/><Relationship Id="rId9" Type="http://schemas.openxmlformats.org/officeDocument/2006/relationships/hyperlink" Target="https://www.linkedin.com/learning/insights-on-working-from-home-s-largest-ever-experiment" TargetMode="External"/><Relationship Id="rId180" Type="http://schemas.openxmlformats.org/officeDocument/2006/relationships/hyperlink" Target="https://www.linkedin.com/learning/stepping-up-how-taking-responsibility-changes-everything-getabstract-summary" TargetMode="External"/><Relationship Id="rId26" Type="http://schemas.openxmlformats.org/officeDocument/2006/relationships/hyperlink" Target="https://www.linkedin.com/learning/communication-within-teams" TargetMode="External"/><Relationship Id="rId47" Type="http://schemas.openxmlformats.org/officeDocument/2006/relationships/hyperlink" Target="https://www.linkedin.com/learning/developing-a-learning-mindset" TargetMode="External"/><Relationship Id="rId68" Type="http://schemas.openxmlformats.org/officeDocument/2006/relationships/hyperlink" Target="https://www.linkedin.com/learning/aaron-dignan-on-transformational-change" TargetMode="External"/><Relationship Id="rId89" Type="http://schemas.openxmlformats.org/officeDocument/2006/relationships/hyperlink" Target="https://www.linkedin.com/learning/preparing-to-lead-developing-mental-toughness-in-yourself" TargetMode="External"/><Relationship Id="rId112" Type="http://schemas.openxmlformats.org/officeDocument/2006/relationships/hyperlink" Target="https://www.linkedin.com/learning/building-a-better-to-do-list" TargetMode="External"/><Relationship Id="rId133" Type="http://schemas.openxmlformats.org/officeDocument/2006/relationships/hyperlink" Target="https://www.linkedin.com/learning/organizational-learning-and-development" TargetMode="External"/><Relationship Id="rId154" Type="http://schemas.openxmlformats.org/officeDocument/2006/relationships/hyperlink" Target="https://www.linkedin.com/learning/developing-adaptability-as-a-manager/predicting-and-planning-amidst-uncertainty" TargetMode="External"/><Relationship Id="rId175" Type="http://schemas.openxmlformats.org/officeDocument/2006/relationships/hyperlink" Target="https://www.linkedin.com/learning/holding-your-team-accountable" TargetMode="External"/><Relationship Id="rId16" Type="http://schemas.openxmlformats.org/officeDocument/2006/relationships/hyperlink" Target="https://www.linkedin.com/learning/paths/manage-change-and-develop-your-adaptability-skills" TargetMode="External"/><Relationship Id="rId37" Type="http://schemas.openxmlformats.org/officeDocument/2006/relationships/hyperlink" Target="https://www.linkedin.com/learning/enhancing-your-productivity" TargetMode="External"/><Relationship Id="rId58" Type="http://schemas.openxmlformats.org/officeDocument/2006/relationships/hyperlink" Target="https://www.linkedin.com/learning/learning-agility" TargetMode="External"/><Relationship Id="rId79" Type="http://schemas.openxmlformats.org/officeDocument/2006/relationships/hyperlink" Target="https://www.linkedin.com/learning/time-management-fundamentals/welcome" TargetMode="External"/><Relationship Id="rId102" Type="http://schemas.openxmlformats.org/officeDocument/2006/relationships/hyperlink" Target="https://www.linkedin.com/learning/creating-a-communications-strategy" TargetMode="External"/><Relationship Id="rId123" Type="http://schemas.openxmlformats.org/officeDocument/2006/relationships/hyperlink" Target="https://www.linkedin.com/learning/enhancing-team-innovation" TargetMode="External"/><Relationship Id="rId144" Type="http://schemas.openxmlformats.org/officeDocument/2006/relationships/hyperlink" Target="https://www.linkedin.com/learning/how-to-effectively-deliver-criticism" TargetMode="External"/><Relationship Id="rId90" Type="http://schemas.openxmlformats.org/officeDocument/2006/relationships/hyperlink" Target="https://www.linkedin.com/learning/rewarding-employee-performance" TargetMode="External"/><Relationship Id="rId165" Type="http://schemas.openxmlformats.org/officeDocument/2006/relationships/hyperlink" Target="https://www.linkedin.com/learning/how-to-organize-your-time-and-your-life" TargetMode="External"/><Relationship Id="rId186" Type="http://schemas.openxmlformats.org/officeDocument/2006/relationships/hyperlink" Target="https://www.linkedin.com/learning/the-sweet-spot-how-to-accomplish-more-by-doing-less" TargetMode="External"/><Relationship Id="rId27" Type="http://schemas.openxmlformats.org/officeDocument/2006/relationships/hyperlink" Target="https://www.linkedin.com/learning/paths/fostering-collaboration" TargetMode="External"/><Relationship Id="rId48" Type="http://schemas.openxmlformats.org/officeDocument/2006/relationships/hyperlink" Target="https://www.linkedin.com/learning/the-practices-of-high-performing-employees" TargetMode="External"/><Relationship Id="rId69" Type="http://schemas.openxmlformats.org/officeDocument/2006/relationships/hyperlink" Target="https://www.linkedin.com/learning/hiring-an-employee-for-managers-2019" TargetMode="External"/><Relationship Id="rId113" Type="http://schemas.openxmlformats.org/officeDocument/2006/relationships/hyperlink" Target="https://www.linkedin.com/learning/how-to-be-adaptable-as-an-employee" TargetMode="External"/><Relationship Id="rId134" Type="http://schemas.openxmlformats.org/officeDocument/2006/relationships/hyperlink" Target="https://www.linkedin.com/learning/managing-a-diverse-team" TargetMode="External"/><Relationship Id="rId80" Type="http://schemas.openxmlformats.org/officeDocument/2006/relationships/hyperlink" Target="https://www.linkedin.com/learning/subtle-shifts-in-thinking-for-tremendous-resilience" TargetMode="External"/><Relationship Id="rId155" Type="http://schemas.openxmlformats.org/officeDocument/2006/relationships/hyperlink" Target="https://www.linkedin.com/learning/succeeding-as-a-leader-in-tech" TargetMode="External"/><Relationship Id="rId176" Type="http://schemas.openxmlformats.org/officeDocument/2006/relationships/hyperlink" Target="https://www.linkedin.com/learning/time-management-for-managers/hold-others-accountable-for-deadlines" TargetMode="External"/><Relationship Id="rId17" Type="http://schemas.openxmlformats.org/officeDocument/2006/relationships/hyperlink" Target="https://www.linkedin.com/learning/boosting-your-team-s-productivity" TargetMode="External"/><Relationship Id="rId38" Type="http://schemas.openxmlformats.org/officeDocument/2006/relationships/hyperlink" Target="https://www.linkedin.com/learning/gary-hamel-on-busting-bureaucracy" TargetMode="External"/><Relationship Id="rId59" Type="http://schemas.openxmlformats.org/officeDocument/2006/relationships/hyperlink" Target="https://www.linkedin.com/learning/delivering-results-effectively" TargetMode="External"/><Relationship Id="rId103" Type="http://schemas.openxmlformats.org/officeDocument/2006/relationships/hyperlink" Target="https://www.linkedin.com/learning/productivity-tips-finding-your-productive-mindset-2020" TargetMode="External"/><Relationship Id="rId124" Type="http://schemas.openxmlformats.org/officeDocument/2006/relationships/hyperlink" Target="https://www.linkedin.com/learning/making-big-goals-achievable" TargetMode="External"/><Relationship Id="rId70" Type="http://schemas.openxmlformats.org/officeDocument/2006/relationships/hyperlink" Target="https://www.linkedin.com/learning/prioritizing-effectively-as-a-leader" TargetMode="External"/><Relationship Id="rId91" Type="http://schemas.openxmlformats.org/officeDocument/2006/relationships/hyperlink" Target="https://www.linkedin.com/learning/time-management-tips-teamwork-2019" TargetMode="External"/><Relationship Id="rId145" Type="http://schemas.openxmlformats.org/officeDocument/2006/relationships/hyperlink" Target="https://www.linkedin.com/learning/adaptive-project-leadership/adaptive-thinking-in-practice" TargetMode="External"/><Relationship Id="rId166" Type="http://schemas.openxmlformats.org/officeDocument/2006/relationships/hyperlink" Target="https://www.linkedin.com/learning/leading-a-customer-service-team" TargetMode="External"/><Relationship Id="rId187" Type="http://schemas.openxmlformats.org/officeDocument/2006/relationships/hyperlink" Target="https://www.linkedin.com/learning/showing-up-authentically-at-work" TargetMode="External"/><Relationship Id="rId1" Type="http://schemas.openxmlformats.org/officeDocument/2006/relationships/hyperlink" Target="https://www.linkedin.com/learning/organization-design" TargetMode="External"/><Relationship Id="rId28" Type="http://schemas.openxmlformats.org/officeDocument/2006/relationships/hyperlink" Target="https://www.linkedin.com/learning/developing-resourcefulness" TargetMode="External"/><Relationship Id="rId49" Type="http://schemas.openxmlformats.org/officeDocument/2006/relationships/hyperlink" Target="https://www.linkedin.com/learning/getting-things-done/capturing-things" TargetMode="External"/><Relationship Id="rId114" Type="http://schemas.openxmlformats.org/officeDocument/2006/relationships/hyperlink" Target="https://www.linkedin.com/learning/microsoft-teams-successful-meetings-and-events" TargetMode="External"/><Relationship Id="rId60" Type="http://schemas.openxmlformats.org/officeDocument/2006/relationships/hyperlink" Target="https://www.linkedin.com/learning/teamwork-foundations-2020" TargetMode="External"/><Relationship Id="rId81" Type="http://schemas.openxmlformats.org/officeDocument/2006/relationships/hyperlink" Target="https://www.linkedin.com/learning/managing-teams-3" TargetMode="External"/><Relationship Id="rId135" Type="http://schemas.openxmlformats.org/officeDocument/2006/relationships/hyperlink" Target="https://www.linkedin.com/learning/managing-your-energy" TargetMode="External"/><Relationship Id="rId156" Type="http://schemas.openxmlformats.org/officeDocument/2006/relationships/hyperlink" Target="https://www.linkedin.com/learning/doubling-your-productivity" TargetMode="External"/><Relationship Id="rId177" Type="http://schemas.openxmlformats.org/officeDocument/2006/relationships/hyperlink" Target="https://www.linkedin.com/learning/demonstrating-accountabilty-as-a-leader"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s://www.linkedin.com/learning/the-science-of-compassion-getting-started" TargetMode="External"/><Relationship Id="rId21" Type="http://schemas.openxmlformats.org/officeDocument/2006/relationships/hyperlink" Target="https://www.linkedin.com/learning/communicating-with-confidence" TargetMode="External"/><Relationship Id="rId42" Type="http://schemas.openxmlformats.org/officeDocument/2006/relationships/hyperlink" Target="https://www.linkedin.com/learning/influencing-others" TargetMode="External"/><Relationship Id="rId63" Type="http://schemas.openxmlformats.org/officeDocument/2006/relationships/hyperlink" Target="https://www.linkedin.com/learning/persuading-others" TargetMode="External"/><Relationship Id="rId84" Type="http://schemas.openxmlformats.org/officeDocument/2006/relationships/hyperlink" Target="https://www.linkedin.com/learning/communicating-in-the-language-of-leadership" TargetMode="External"/><Relationship Id="rId138" Type="http://schemas.openxmlformats.org/officeDocument/2006/relationships/hyperlink" Target="https://www.linkedin.com/learning/how-to-develop-friendships-and-connect-meaningfully-with-work-colleagues" TargetMode="External"/><Relationship Id="rId159" Type="http://schemas.openxmlformats.org/officeDocument/2006/relationships/hyperlink" Target="https://www.linkedin.com/learning/difficult-conversations-talking-about-race-at-work" TargetMode="External"/><Relationship Id="rId170" Type="http://schemas.openxmlformats.org/officeDocument/2006/relationships/hyperlink" Target="https://www.linkedin.com/learning/communication-tips-weekly" TargetMode="External"/><Relationship Id="rId107" Type="http://schemas.openxmlformats.org/officeDocument/2006/relationships/hyperlink" Target="https://www.linkedin.com/learning/humble-leadership-the-power-of-relationships-openness-and-trust-getabstract-summary" TargetMode="External"/><Relationship Id="rId11" Type="http://schemas.openxmlformats.org/officeDocument/2006/relationships/hyperlink" Target="https://www.linkedin.com/learning/de-escalating-intense-situations" TargetMode="External"/><Relationship Id="rId32" Type="http://schemas.openxmlformats.org/officeDocument/2006/relationships/hyperlink" Target="https://www.linkedin.com/learning/communication-foundations-2" TargetMode="External"/><Relationship Id="rId53" Type="http://schemas.openxmlformats.org/officeDocument/2006/relationships/hyperlink" Target="https://www.linkedin.com/learning/leading-inclusive-teams" TargetMode="External"/><Relationship Id="rId74" Type="http://schemas.openxmlformats.org/officeDocument/2006/relationships/hyperlink" Target="https://www.linkedin.com/learning/teamwork-foundations-2020" TargetMode="External"/><Relationship Id="rId128" Type="http://schemas.openxmlformats.org/officeDocument/2006/relationships/hyperlink" Target="https://www.linkedin.com/learning/the-ultimate-guide-to-networking" TargetMode="External"/><Relationship Id="rId149" Type="http://schemas.openxmlformats.org/officeDocument/2006/relationships/hyperlink" Target="https://www.linkedin.com/learning/body-language-for-leaders-2019" TargetMode="External"/><Relationship Id="rId5" Type="http://schemas.openxmlformats.org/officeDocument/2006/relationships/hyperlink" Target="https://www.linkedin.com/learning/crisis-communication" TargetMode="External"/><Relationship Id="rId95" Type="http://schemas.openxmlformats.org/officeDocument/2006/relationships/hyperlink" Target="https://www.linkedin.com/learning/collaborative-design-managing-a-team" TargetMode="External"/><Relationship Id="rId160" Type="http://schemas.openxmlformats.org/officeDocument/2006/relationships/hyperlink" Target="https://www.linkedin.com/learning/speaking-up-at-work" TargetMode="External"/><Relationship Id="rId22" Type="http://schemas.openxmlformats.org/officeDocument/2006/relationships/hyperlink" Target="https://www.linkedin.com/learning/paths/master-in-demand-professional-soft-skills" TargetMode="External"/><Relationship Id="rId43" Type="http://schemas.openxmlformats.org/officeDocument/2006/relationships/hyperlink" Target="https://www.linkedin.com/learning/having-difficult-conversations-2" TargetMode="External"/><Relationship Id="rId64" Type="http://schemas.openxmlformats.org/officeDocument/2006/relationships/hyperlink" Target="https://www.linkedin.com/learning/effective-listening" TargetMode="External"/><Relationship Id="rId118" Type="http://schemas.openxmlformats.org/officeDocument/2006/relationships/hyperlink" Target="https://www.linkedin.com/learning/time-tested-methods-for-making-complex-decisions" TargetMode="External"/><Relationship Id="rId139" Type="http://schemas.openxmlformats.org/officeDocument/2006/relationships/hyperlink" Target="https://www.linkedin.com/learning/starting-a-memorable-conversation" TargetMode="External"/><Relationship Id="rId85" Type="http://schemas.openxmlformats.org/officeDocument/2006/relationships/hyperlink" Target="https://www.linkedin.com/learning/communicating-in-times-of-change/welcome" TargetMode="External"/><Relationship Id="rId150" Type="http://schemas.openxmlformats.org/officeDocument/2006/relationships/hyperlink" Target="https://www.linkedin.com/learning/inclusive-leadership" TargetMode="External"/><Relationship Id="rId171" Type="http://schemas.openxmlformats.org/officeDocument/2006/relationships/hyperlink" Target="https://www.linkedin.com/learning/facilitation-skills-for-managers-and-leaders" TargetMode="External"/><Relationship Id="rId12" Type="http://schemas.openxmlformats.org/officeDocument/2006/relationships/hyperlink" Target="https://www.linkedin.com/learning/paths/succeeding-in-sales-during-times-of-volatility" TargetMode="External"/><Relationship Id="rId33" Type="http://schemas.openxmlformats.org/officeDocument/2006/relationships/hyperlink" Target="https://www.linkedin.com/learning/paths/develop-your-communication-skills-and-interpersonal-influence" TargetMode="External"/><Relationship Id="rId108" Type="http://schemas.openxmlformats.org/officeDocument/2006/relationships/hyperlink" Target="https://www.linkedin.com/learning/key-psychological-principles-for-ethical-persuasion" TargetMode="External"/><Relationship Id="rId129" Type="http://schemas.openxmlformats.org/officeDocument/2006/relationships/hyperlink" Target="https://www.linkedin.com/learning/building-business-relationships-2" TargetMode="External"/><Relationship Id="rId54" Type="http://schemas.openxmlformats.org/officeDocument/2006/relationships/hyperlink" Target="https://www.linkedin.com/learning/negotiation-foundations/welcome?u=104" TargetMode="External"/><Relationship Id="rId75" Type="http://schemas.openxmlformats.org/officeDocument/2006/relationships/hyperlink" Target="https://www.linkedin.com/learning/women-transforming-tech-networking" TargetMode="External"/><Relationship Id="rId96" Type="http://schemas.openxmlformats.org/officeDocument/2006/relationships/hyperlink" Target="https://www.linkedin.com/learning/jeffrey-gitomer-s-little-red-book-of-sales-answers-getabstract-summary" TargetMode="External"/><Relationship Id="rId140" Type="http://schemas.openxmlformats.org/officeDocument/2006/relationships/hyperlink" Target="https://www.linkedin.com/learning/creating-a-connection-culture,https:/www.linkedin.com/learning/creating-a-culture-of-connection" TargetMode="External"/><Relationship Id="rId161" Type="http://schemas.openxmlformats.org/officeDocument/2006/relationships/hyperlink" Target="https://www.linkedin.com/learning/difficult-conversations-about-politics-at-work" TargetMode="External"/><Relationship Id="rId6" Type="http://schemas.openxmlformats.org/officeDocument/2006/relationships/hyperlink" Target="https://www.linkedin.com/learning/paths/improve-your-teamwork-skills" TargetMode="External"/><Relationship Id="rId23" Type="http://schemas.openxmlformats.org/officeDocument/2006/relationships/hyperlink" Target="https://www.linkedin.com/learning/how-to-resolve-conflict-and-boost-productivity-through-deep-listening" TargetMode="External"/><Relationship Id="rId28" Type="http://schemas.openxmlformats.org/officeDocument/2006/relationships/hyperlink" Target="https://www.linkedin.com/learning/paths/visual-communication-for-business-professionals" TargetMode="External"/><Relationship Id="rId49" Type="http://schemas.openxmlformats.org/officeDocument/2006/relationships/hyperlink" Target="https://www.linkedin.com/learning/jeff-weiner-on-managing-compassionately" TargetMode="External"/><Relationship Id="rId114" Type="http://schemas.openxmlformats.org/officeDocument/2006/relationships/hyperlink" Target="https://www.linkedin.com/learning/the-science-of-compassion-the-upward-spiral-of-compassion" TargetMode="External"/><Relationship Id="rId119" Type="http://schemas.openxmlformats.org/officeDocument/2006/relationships/hyperlink" Target="https://www.linkedin.com/learning/business-ethics-2019" TargetMode="External"/><Relationship Id="rId44" Type="http://schemas.openxmlformats.org/officeDocument/2006/relationships/hyperlink" Target="https://www.linkedin.com/learning/developing-your-professional-image/the-resilience-mindset" TargetMode="External"/><Relationship Id="rId60" Type="http://schemas.openxmlformats.org/officeDocument/2006/relationships/hyperlink" Target="https://www.linkedin.com/learning/organization-communication" TargetMode="External"/><Relationship Id="rId65" Type="http://schemas.openxmlformats.org/officeDocument/2006/relationships/hyperlink" Target="https://www.linkedin.com/learning/social-success-at-work" TargetMode="External"/><Relationship Id="rId81" Type="http://schemas.openxmlformats.org/officeDocument/2006/relationships/hyperlink" Target="https://www.linkedin.com/learning/social-success-at-work" TargetMode="External"/><Relationship Id="rId86" Type="http://schemas.openxmlformats.org/officeDocument/2006/relationships/hyperlink" Target="https://www.linkedin.com/learning/communicating-with-transparency" TargetMode="External"/><Relationship Id="rId130" Type="http://schemas.openxmlformats.org/officeDocument/2006/relationships/hyperlink" Target="https://www.linkedin.com/learning/21-opportunities-for-better-networking" TargetMode="External"/><Relationship Id="rId135" Type="http://schemas.openxmlformats.org/officeDocument/2006/relationships/hyperlink" Target="https://www.linkedin.com/learning/selling-to-executives/next-steps" TargetMode="External"/><Relationship Id="rId151" Type="http://schemas.openxmlformats.org/officeDocument/2006/relationships/hyperlink" Target="https://www.linkedin.com/learning/complete-confidence-in-minutes-weekly" TargetMode="External"/><Relationship Id="rId156" Type="http://schemas.openxmlformats.org/officeDocument/2006/relationships/hyperlink" Target="https://www.linkedin.com/learning/empathy-at-work" TargetMode="External"/><Relationship Id="rId177" Type="http://schemas.openxmlformats.org/officeDocument/2006/relationships/hyperlink" Target="https://www.linkedin.com/learning/successful-networking" TargetMode="External"/><Relationship Id="rId172" Type="http://schemas.openxmlformats.org/officeDocument/2006/relationships/hyperlink" Target="https://www.linkedin.com/learning/preparing-for-successful-communication" TargetMode="External"/><Relationship Id="rId13" Type="http://schemas.openxmlformats.org/officeDocument/2006/relationships/hyperlink" Target="https://www.linkedin.com/learning/how-to-build-rapport-quickly" TargetMode="External"/><Relationship Id="rId18" Type="http://schemas.openxmlformats.org/officeDocument/2006/relationships/hyperlink" Target="https://www.linkedin.com/learning/paths/master-in-demand-professional-soft-skills" TargetMode="External"/><Relationship Id="rId39" Type="http://schemas.openxmlformats.org/officeDocument/2006/relationships/hyperlink" Target="https://www.linkedin.com/learning/effective-listening" TargetMode="External"/><Relationship Id="rId109" Type="http://schemas.openxmlformats.org/officeDocument/2006/relationships/hyperlink" Target="https://www.linkedin.com/learning/working-with-high-conflict-people-as-a-manager" TargetMode="External"/><Relationship Id="rId34" Type="http://schemas.openxmlformats.org/officeDocument/2006/relationships/hyperlink" Target="https://www.linkedin.com/learning/communicating-with-empathy/welcome" TargetMode="External"/><Relationship Id="rId50" Type="http://schemas.openxmlformats.org/officeDocument/2006/relationships/hyperlink" Target="https://www.linkedin.com/learning/interpersonal-communication/welcome" TargetMode="External"/><Relationship Id="rId55" Type="http://schemas.openxmlformats.org/officeDocument/2006/relationships/hyperlink" Target="https://www.linkedin.com/learning/project-audio-highlights-2020" TargetMode="External"/><Relationship Id="rId76" Type="http://schemas.openxmlformats.org/officeDocument/2006/relationships/hyperlink" Target="https://www.linkedin.com/learning/marketing-during-a-crisis" TargetMode="External"/><Relationship Id="rId97" Type="http://schemas.openxmlformats.org/officeDocument/2006/relationships/hyperlink" Target="https://www.linkedin.com/learning/managing-employee-performance-problems-3" TargetMode="External"/><Relationship Id="rId104" Type="http://schemas.openxmlformats.org/officeDocument/2006/relationships/hyperlink" Target="https://www.linkedin.com/learning/what-are-your-blind-spots-getabstract-summary" TargetMode="External"/><Relationship Id="rId120" Type="http://schemas.openxmlformats.org/officeDocument/2006/relationships/hyperlink" Target="https://www.linkedin.com/learning/inspirational-leadership-skills-practical-motivational-leadership" TargetMode="External"/><Relationship Id="rId125" Type="http://schemas.openxmlformats.org/officeDocument/2006/relationships/hyperlink" Target="https://www.linkedin.com/learning/communicating-with-transparency" TargetMode="External"/><Relationship Id="rId141" Type="http://schemas.openxmlformats.org/officeDocument/2006/relationships/hyperlink" Target="https://www.linkedin.com/learning/asserting-yourself-an-empowered-choice" TargetMode="External"/><Relationship Id="rId146" Type="http://schemas.openxmlformats.org/officeDocument/2006/relationships/hyperlink" Target="https://www.linkedin.com/learning/employee-experience" TargetMode="External"/><Relationship Id="rId167" Type="http://schemas.openxmlformats.org/officeDocument/2006/relationships/hyperlink" Target="https://www.linkedin.com/learning/how-to-develop-friendships-and-connect-meaningfully-with-work-colleagues" TargetMode="External"/><Relationship Id="rId7" Type="http://schemas.openxmlformats.org/officeDocument/2006/relationships/hyperlink" Target="https://www.linkedin.com/learning/cross-functional-sales-teams" TargetMode="External"/><Relationship Id="rId71" Type="http://schemas.openxmlformats.org/officeDocument/2006/relationships/hyperlink" Target="https://www.linkedin.com/learning/creating-a-culture-of-learning-2020" TargetMode="External"/><Relationship Id="rId92" Type="http://schemas.openxmlformats.org/officeDocument/2006/relationships/hyperlink" Target="https://www.linkedin.com/learning/building-trust-6" TargetMode="External"/><Relationship Id="rId162" Type="http://schemas.openxmlformats.org/officeDocument/2006/relationships/hyperlink" Target="https://www.linkedin.com/learning/17-pr-mistakes-to-avoid" TargetMode="External"/><Relationship Id="rId2" Type="http://schemas.openxmlformats.org/officeDocument/2006/relationships/hyperlink" Target="https://www.linkedin.com/learning/paths/become-an-inclusive-leader" TargetMode="External"/><Relationship Id="rId29" Type="http://schemas.openxmlformats.org/officeDocument/2006/relationships/hyperlink" Target="https://www.linkedin.com/learning/dealing-with-disappointment-in-your-role" TargetMode="External"/><Relationship Id="rId24" Type="http://schemas.openxmlformats.org/officeDocument/2006/relationships/hyperlink" Target="https://www.linkedin.com/learning/paths/develop-conflict-management-and-resolution-skills" TargetMode="External"/><Relationship Id="rId40" Type="http://schemas.openxmlformats.org/officeDocument/2006/relationships/hyperlink" Target="https://www.linkedin.com/learning/fred-kofman-on-managing-conflict" TargetMode="External"/><Relationship Id="rId45" Type="http://schemas.openxmlformats.org/officeDocument/2006/relationships/hyperlink" Target="https://www.linkedin.com/learning/interpersonal-communication/welcome" TargetMode="External"/><Relationship Id="rId66" Type="http://schemas.openxmlformats.org/officeDocument/2006/relationships/hyperlink" Target="https://www.linkedin.com/learning/women-transforming-tech-finding-sponsors" TargetMode="External"/><Relationship Id="rId87" Type="http://schemas.openxmlformats.org/officeDocument/2006/relationships/hyperlink" Target="https://www.linkedin.com/learning/top-of-mind-use-content-to-unleash-your-influence-getabstract-summary" TargetMode="External"/><Relationship Id="rId110" Type="http://schemas.openxmlformats.org/officeDocument/2006/relationships/hyperlink" Target="https://www.linkedin.com/learning/the-art-of-connection-7-relationship-building-skills-every-leader-needs-now-getabstract-summary" TargetMode="External"/><Relationship Id="rId115" Type="http://schemas.openxmlformats.org/officeDocument/2006/relationships/hyperlink" Target="https://www.linkedin.com/learning/building-resilience-as-a-leader" TargetMode="External"/><Relationship Id="rId131" Type="http://schemas.openxmlformats.org/officeDocument/2006/relationships/hyperlink" Target="https://www.linkedin.com/learning/building-trust-6" TargetMode="External"/><Relationship Id="rId136" Type="http://schemas.openxmlformats.org/officeDocument/2006/relationships/hyperlink" Target="https://www.linkedin.com/learning/managing-up-virtually-as-an-employee" TargetMode="External"/><Relationship Id="rId157" Type="http://schemas.openxmlformats.org/officeDocument/2006/relationships/hyperlink" Target="https://www.linkedin.com/learning/preparing-to-interview-for-a-creative-role" TargetMode="External"/><Relationship Id="rId178" Type="http://schemas.openxmlformats.org/officeDocument/2006/relationships/hyperlink" Target="https://www.linkedin.com/learning/building-your-visibility-as-a-leader" TargetMode="External"/><Relationship Id="rId61" Type="http://schemas.openxmlformats.org/officeDocument/2006/relationships/hyperlink" Target="https://www.linkedin.com/learning/delivering-bad-news-effectively" TargetMode="External"/><Relationship Id="rId82" Type="http://schemas.openxmlformats.org/officeDocument/2006/relationships/hyperlink" Target="https://www.linkedin.com/learning/difficult-conversations-about-politics-at-work" TargetMode="External"/><Relationship Id="rId152" Type="http://schemas.openxmlformats.org/officeDocument/2006/relationships/hyperlink" Target="https://www.linkedin.com/learning/grit-how-teams-persevere-to-accomplish-great-goals" TargetMode="External"/><Relationship Id="rId173" Type="http://schemas.openxmlformats.org/officeDocument/2006/relationships/hyperlink" Target="https://www.linkedin.com/learning/navigating-politics-as-a-senior-leader" TargetMode="External"/><Relationship Id="rId19" Type="http://schemas.openxmlformats.org/officeDocument/2006/relationships/hyperlink" Target="https://www.linkedin.com/learning/become-a-super-collaborator" TargetMode="External"/><Relationship Id="rId14" Type="http://schemas.openxmlformats.org/officeDocument/2006/relationships/hyperlink" Target="https://www.linkedin.com/learning/paths/improve-your-teamwork-skills" TargetMode="External"/><Relationship Id="rId30" Type="http://schemas.openxmlformats.org/officeDocument/2006/relationships/hyperlink" Target="https://www.linkedin.com/learning/communicating-with-empathy" TargetMode="External"/><Relationship Id="rId35" Type="http://schemas.openxmlformats.org/officeDocument/2006/relationships/hyperlink" Target="https://www.linkedin.com/learning/communication-within-teams" TargetMode="External"/><Relationship Id="rId56" Type="http://schemas.openxmlformats.org/officeDocument/2006/relationships/hyperlink" Target="https://www.linkedin.com/learning/professional-networking" TargetMode="External"/><Relationship Id="rId77" Type="http://schemas.openxmlformats.org/officeDocument/2006/relationships/hyperlink" Target="https://www.linkedin.com/learning/inclusive-mindset-for-committed-allies" TargetMode="External"/><Relationship Id="rId100" Type="http://schemas.openxmlformats.org/officeDocument/2006/relationships/hyperlink" Target="https://www.linkedin.com/learning/managing-in-difficult-times" TargetMode="External"/><Relationship Id="rId105" Type="http://schemas.openxmlformats.org/officeDocument/2006/relationships/hyperlink" Target="https://www.linkedin.com/learning/becoming-an-impactful-and-influential-leader" TargetMode="External"/><Relationship Id="rId126" Type="http://schemas.openxmlformats.org/officeDocument/2006/relationships/hyperlink" Target="https://www.linkedin.com/learning/leveraging-your-relationship-capital" TargetMode="External"/><Relationship Id="rId147" Type="http://schemas.openxmlformats.org/officeDocument/2006/relationships/hyperlink" Target="https://www.linkedin.com/learning/skills-for-inclusive-conversations" TargetMode="External"/><Relationship Id="rId168" Type="http://schemas.openxmlformats.org/officeDocument/2006/relationships/hyperlink" Target="https://www.linkedin.com/learning/complex-negotiation-tips" TargetMode="External"/><Relationship Id="rId8" Type="http://schemas.openxmlformats.org/officeDocument/2006/relationships/hyperlink" Target="https://www.linkedin.com/learning/paths/fostering-collaboration" TargetMode="External"/><Relationship Id="rId51" Type="http://schemas.openxmlformats.org/officeDocument/2006/relationships/hyperlink" Target="https://www.linkedin.com/learning/managing-office-politics" TargetMode="External"/><Relationship Id="rId72" Type="http://schemas.openxmlformats.org/officeDocument/2006/relationships/hyperlink" Target="https://www.linkedin.com/learning/women-transforming-tech-voices-from-the-field" TargetMode="External"/><Relationship Id="rId93" Type="http://schemas.openxmlformats.org/officeDocument/2006/relationships/hyperlink" Target="https://www.linkedin.com/learning/find-your-passion-how-padma-lakshmi-found-hers" TargetMode="External"/><Relationship Id="rId98" Type="http://schemas.openxmlformats.org/officeDocument/2006/relationships/hyperlink" Target="https://www.linkedin.com/learning/giving-and-receiving-feedback" TargetMode="External"/><Relationship Id="rId121" Type="http://schemas.openxmlformats.org/officeDocument/2006/relationships/hyperlink" Target="https://www.linkedin.com/learning/time-management-for-managers/hold-others-accountable-for-deadlines" TargetMode="External"/><Relationship Id="rId142" Type="http://schemas.openxmlformats.org/officeDocument/2006/relationships/hyperlink" Target="https://www.linkedin.com/learning/business-collaboration-in-the-modern-workplace/conversational-tools-email-and-chat" TargetMode="External"/><Relationship Id="rId163" Type="http://schemas.openxmlformats.org/officeDocument/2006/relationships/hyperlink" Target="https://www.linkedin.com/learning/a-step-bystep-guide-to-building-your-thought-leadership-on-linkedin-uk" TargetMode="External"/><Relationship Id="rId3" Type="http://schemas.openxmlformats.org/officeDocument/2006/relationships/hyperlink" Target="https://www.linkedin.com/learning/advanced-business-development-communication-and-negotiation" TargetMode="External"/><Relationship Id="rId25" Type="http://schemas.openxmlformats.org/officeDocument/2006/relationships/hyperlink" Target="https://www.linkedin.com/learning/collaboration-principles-and-process" TargetMode="External"/><Relationship Id="rId46" Type="http://schemas.openxmlformats.org/officeDocument/2006/relationships/hyperlink" Target="https://www.linkedin.com/learning/improving-your-conflict-competence" TargetMode="External"/><Relationship Id="rId67" Type="http://schemas.openxmlformats.org/officeDocument/2006/relationships/hyperlink" Target="https://www.linkedin.com/learning/managing-conflict-a-practical-guide-to-resolution-in-the-workplace-getabstract-summary" TargetMode="External"/><Relationship Id="rId116" Type="http://schemas.openxmlformats.org/officeDocument/2006/relationships/hyperlink" Target="https://www.linkedin.com/learning/dealing-with-grief-loss-and-change-as-an-employee" TargetMode="External"/><Relationship Id="rId137" Type="http://schemas.openxmlformats.org/officeDocument/2006/relationships/hyperlink" Target="https://www.linkedin.com/learning/evil-by-design-1-overview,https:/www.linkedin.com/learning/evil-by-design-1-overview-revision-2021,https:/www.linkedin.com/learning/evil-by-design-persuasion-in-ux" TargetMode="External"/><Relationship Id="rId158" Type="http://schemas.openxmlformats.org/officeDocument/2006/relationships/hyperlink" Target="https://www.linkedin.com/learning/building-relationships-while-working-from-home" TargetMode="External"/><Relationship Id="rId20" Type="http://schemas.openxmlformats.org/officeDocument/2006/relationships/hyperlink" Target="https://www.linkedin.com/learning/paths/digital-transformation-in-practice-virtual-collaboration-tools" TargetMode="External"/><Relationship Id="rId41" Type="http://schemas.openxmlformats.org/officeDocument/2006/relationships/hyperlink" Target="https://www.linkedin.com/learning/developing-your-emotional-intelligence" TargetMode="External"/><Relationship Id="rId62" Type="http://schemas.openxmlformats.org/officeDocument/2006/relationships/hyperlink" Target="https://www.linkedin.com/learning/women-transforming-tech-networking" TargetMode="External"/><Relationship Id="rId83" Type="http://schemas.openxmlformats.org/officeDocument/2006/relationships/hyperlink" Target="https://www.linkedin.com/learning/how-to-work-with-a-micromanager" TargetMode="External"/><Relationship Id="rId88" Type="http://schemas.openxmlformats.org/officeDocument/2006/relationships/hyperlink" Target="https://www.linkedin.com/learning/facilitation-skills-for-managers-and-leaders" TargetMode="External"/><Relationship Id="rId111" Type="http://schemas.openxmlformats.org/officeDocument/2006/relationships/hyperlink" Target="https://www.linkedin.com/learning/the-power-of-introverts" TargetMode="External"/><Relationship Id="rId132" Type="http://schemas.openxmlformats.org/officeDocument/2006/relationships/hyperlink" Target="https://www.linkedin.com/learning/building-relationships-while-working-from-home" TargetMode="External"/><Relationship Id="rId153" Type="http://schemas.openxmlformats.org/officeDocument/2006/relationships/hyperlink" Target="https://www.linkedin.com/learning/communicating-internally-during-times-of-uncertainty" TargetMode="External"/><Relationship Id="rId174" Type="http://schemas.openxmlformats.org/officeDocument/2006/relationships/hyperlink" Target="https://www.linkedin.com/learning/leading-with-kindness-and-strength" TargetMode="External"/><Relationship Id="rId15" Type="http://schemas.openxmlformats.org/officeDocument/2006/relationships/hyperlink" Target="https://www.linkedin.com/learning/strategic-negotiation" TargetMode="External"/><Relationship Id="rId36" Type="http://schemas.openxmlformats.org/officeDocument/2006/relationships/hyperlink" Target="https://www.linkedin.com/learning/communication-within-teams" TargetMode="External"/><Relationship Id="rId57" Type="http://schemas.openxmlformats.org/officeDocument/2006/relationships/hyperlink" Target="https://www.linkedin.com/learning/negotiation-skills/instead-of-yes-or-no-negotiate" TargetMode="External"/><Relationship Id="rId106" Type="http://schemas.openxmlformats.org/officeDocument/2006/relationships/hyperlink" Target="https://www.linkedin.com/learning/having-difficult-conversations-a-guide-for-managers" TargetMode="External"/><Relationship Id="rId127" Type="http://schemas.openxmlformats.org/officeDocument/2006/relationships/hyperlink" Target="https://www.linkedin.com/learning/presenting-technical-information-with-stories" TargetMode="External"/><Relationship Id="rId10" Type="http://schemas.openxmlformats.org/officeDocument/2006/relationships/hyperlink" Target="https://www.linkedin.com/learning/paths/improve-your-interoffice-politics-skills" TargetMode="External"/><Relationship Id="rId31" Type="http://schemas.openxmlformats.org/officeDocument/2006/relationships/hyperlink" Target="https://www.linkedin.com/learning/paths/building-trust-and-collaborating-with-others-2" TargetMode="External"/><Relationship Id="rId52" Type="http://schemas.openxmlformats.org/officeDocument/2006/relationships/hyperlink" Target="https://www.linkedin.com/learning/dealing-with-difficult-people-in-your-office" TargetMode="External"/><Relationship Id="rId73" Type="http://schemas.openxmlformats.org/officeDocument/2006/relationships/hyperlink" Target="https://www.linkedin.com/learning/taking-your-leadership-to-a-higher-level" TargetMode="External"/><Relationship Id="rId78" Type="http://schemas.openxmlformats.org/officeDocument/2006/relationships/hyperlink" Target="https://www.linkedin.com/learning/own-your-voice-improve-presentations-and-executive-presence" TargetMode="External"/><Relationship Id="rId94" Type="http://schemas.openxmlformats.org/officeDocument/2006/relationships/hyperlink" Target="https://www.linkedin.com/learning/leading-through-relationships" TargetMode="External"/><Relationship Id="rId99" Type="http://schemas.openxmlformats.org/officeDocument/2006/relationships/hyperlink" Target="https://www.linkedin.com/learning/crucial-conversations-getabstract-summary" TargetMode="External"/><Relationship Id="rId101" Type="http://schemas.openxmlformats.org/officeDocument/2006/relationships/hyperlink" Target="https://www.linkedin.com/learning/improving-your-listening-skills" TargetMode="External"/><Relationship Id="rId122" Type="http://schemas.openxmlformats.org/officeDocument/2006/relationships/hyperlink" Target="https://www.linkedin.com/learning/unlock-your-team-s-creativity" TargetMode="External"/><Relationship Id="rId143" Type="http://schemas.openxmlformats.org/officeDocument/2006/relationships/hyperlink" Target="https://www.linkedin.com/learning/how-to-create-and-run-a-brilliant-remote-workshop-uk" TargetMode="External"/><Relationship Id="rId148" Type="http://schemas.openxmlformats.org/officeDocument/2006/relationships/hyperlink" Target="https://www.linkedin.com/learning/facilitation-skills-for-managers-and-leaders" TargetMode="External"/><Relationship Id="rId164" Type="http://schemas.openxmlformats.org/officeDocument/2006/relationships/hyperlink" Target="https://www.linkedin.com/learning/listen-to-lead" TargetMode="External"/><Relationship Id="rId169" Type="http://schemas.openxmlformats.org/officeDocument/2006/relationships/hyperlink" Target="https://www.linkedin.com/learning/communicating-with-diplomacy-and-tact" TargetMode="External"/><Relationship Id="rId4" Type="http://schemas.openxmlformats.org/officeDocument/2006/relationships/hyperlink" Target="https://www.linkedin.com/learning/paths/fostering-collaboration" TargetMode="External"/><Relationship Id="rId9" Type="http://schemas.openxmlformats.org/officeDocument/2006/relationships/hyperlink" Target="https://www.linkedin.com/learning/crisis-communication-for-hr" TargetMode="External"/><Relationship Id="rId26" Type="http://schemas.openxmlformats.org/officeDocument/2006/relationships/hyperlink" Target="https://www.linkedin.com/learning/paths/advance-your-skills-as-an-individual-contributor" TargetMode="External"/><Relationship Id="rId47" Type="http://schemas.openxmlformats.org/officeDocument/2006/relationships/hyperlink" Target="https://www.linkedin.com/learning/effective-listening" TargetMode="External"/><Relationship Id="rId68" Type="http://schemas.openxmlformats.org/officeDocument/2006/relationships/hyperlink" Target="https://www.linkedin.com/learning/the-surprising-power-of-seeing-people-as-people" TargetMode="External"/><Relationship Id="rId89" Type="http://schemas.openxmlformats.org/officeDocument/2006/relationships/hyperlink" Target="https://www.linkedin.com/learning/being-an-effective-team-member" TargetMode="External"/><Relationship Id="rId112" Type="http://schemas.openxmlformats.org/officeDocument/2006/relationships/hyperlink" Target="https://www.linkedin.com/learning/managing-misconduct-in-the-workplace-uk" TargetMode="External"/><Relationship Id="rId133" Type="http://schemas.openxmlformats.org/officeDocument/2006/relationships/hyperlink" Target="https://www.linkedin.com/learning/improving-your-listening-skills" TargetMode="External"/><Relationship Id="rId154" Type="http://schemas.openxmlformats.org/officeDocument/2006/relationships/hyperlink" Target="https://www.linkedin.com/learning/creating-a-culture-of-collaboration" TargetMode="External"/><Relationship Id="rId175" Type="http://schemas.openxmlformats.org/officeDocument/2006/relationships/hyperlink" Target="https://www.linkedin.com/learning/leading-from-the-middle" TargetMode="External"/><Relationship Id="rId16" Type="http://schemas.openxmlformats.org/officeDocument/2006/relationships/hyperlink" Target="https://www.linkedin.com/learning/paths/improve-your-teamwork-skills" TargetMode="External"/><Relationship Id="rId37" Type="http://schemas.openxmlformats.org/officeDocument/2006/relationships/hyperlink" Target="https://www.linkedin.com/learning/conflict-resolution-foundations-4" TargetMode="External"/><Relationship Id="rId58" Type="http://schemas.openxmlformats.org/officeDocument/2006/relationships/hyperlink" Target="https://www.linkedin.com/learning/difficult-situations-solutions-for-managers" TargetMode="External"/><Relationship Id="rId79" Type="http://schemas.openxmlformats.org/officeDocument/2006/relationships/hyperlink" Target="https://www.linkedin.com/learning/how-to-give-negative-feedback-to-senior-colleagues" TargetMode="External"/><Relationship Id="rId102" Type="http://schemas.openxmlformats.org/officeDocument/2006/relationships/hyperlink" Target="https://www.linkedin.com/learning/how-to-crush-self-doubt-and-build-self-confidence" TargetMode="External"/><Relationship Id="rId123" Type="http://schemas.openxmlformats.org/officeDocument/2006/relationships/hyperlink" Target="https://www.linkedin.com/learning/supporting-a-grieving-employee-a-manager-s-guide" TargetMode="External"/><Relationship Id="rId144" Type="http://schemas.openxmlformats.org/officeDocument/2006/relationships/hyperlink" Target="https://www.linkedin.com/learning/communicating-with-diplomacy-and-tact" TargetMode="External"/><Relationship Id="rId90" Type="http://schemas.openxmlformats.org/officeDocument/2006/relationships/hyperlink" Target="https://www.linkedin.com/learning/learning-webex-meetings-2020" TargetMode="External"/><Relationship Id="rId165" Type="http://schemas.openxmlformats.org/officeDocument/2006/relationships/hyperlink" Target="https://www.linkedin.com/learning/having-powerful-advanced-conversations" TargetMode="External"/><Relationship Id="rId27" Type="http://schemas.openxmlformats.org/officeDocument/2006/relationships/hyperlink" Target="https://www.linkedin.com/learning/communicating-with-empathy" TargetMode="External"/><Relationship Id="rId48" Type="http://schemas.openxmlformats.org/officeDocument/2006/relationships/hyperlink" Target="https://www.linkedin.com/learning/learning-to-be-approachable" TargetMode="External"/><Relationship Id="rId69" Type="http://schemas.openxmlformats.org/officeDocument/2006/relationships/hyperlink" Target="https://www.linkedin.com/learning/women-transforming-tech-breaking-in-and-staying-in-the-industry" TargetMode="External"/><Relationship Id="rId113" Type="http://schemas.openxmlformats.org/officeDocument/2006/relationships/hyperlink" Target="https://www.linkedin.com/learning/why-trust-matters-with-rachel-botsman" TargetMode="External"/><Relationship Id="rId134" Type="http://schemas.openxmlformats.org/officeDocument/2006/relationships/hyperlink" Target="https://www.linkedin.com/learning/foundations-of-team-collaboration" TargetMode="External"/><Relationship Id="rId80" Type="http://schemas.openxmlformats.org/officeDocument/2006/relationships/hyperlink" Target="https://www.linkedin.com/learning/supporting-a-grieving-employee-a-manager-s-guide" TargetMode="External"/><Relationship Id="rId155" Type="http://schemas.openxmlformats.org/officeDocument/2006/relationships/hyperlink" Target="https://www.linkedin.com/learning/dealing-with-grief-loss-and-change-as-an-employee" TargetMode="External"/><Relationship Id="rId176" Type="http://schemas.openxmlformats.org/officeDocument/2006/relationships/hyperlink" Target="https://www.linkedin.com/learning/the-surprising-science-of-meetings-getabstract-summary" TargetMode="External"/><Relationship Id="rId17" Type="http://schemas.openxmlformats.org/officeDocument/2006/relationships/hyperlink" Target="https://www.linkedin.com/learning/how-to-proactively-manage-conflict-as-an-employee" TargetMode="External"/><Relationship Id="rId38" Type="http://schemas.openxmlformats.org/officeDocument/2006/relationships/hyperlink" Target="https://www.linkedin.com/learning/developing-self-awareness" TargetMode="External"/><Relationship Id="rId59" Type="http://schemas.openxmlformats.org/officeDocument/2006/relationships/hyperlink" Target="https://www.linkedin.com/learning/working-on-a-cross-functional-team/welcome" TargetMode="External"/><Relationship Id="rId103" Type="http://schemas.openxmlformats.org/officeDocument/2006/relationships/hyperlink" Target="https://www.linkedin.com/learning/managing-team-conflict" TargetMode="External"/><Relationship Id="rId124" Type="http://schemas.openxmlformats.org/officeDocument/2006/relationships/hyperlink" Target="https://www.linkedin.com/learning/the-language-of-inclusion-skills-for-inclusive-conversations" TargetMode="External"/><Relationship Id="rId70" Type="http://schemas.openxmlformats.org/officeDocument/2006/relationships/hyperlink" Target="https://www.linkedin.com/learning/going-to-extremes-how-like-minds-unite-and-divide-getabstract-summary" TargetMode="External"/><Relationship Id="rId91" Type="http://schemas.openxmlformats.org/officeDocument/2006/relationships/hyperlink" Target="https://www.linkedin.com/learning/human-resources-managing-employee-problems" TargetMode="External"/><Relationship Id="rId145" Type="http://schemas.openxmlformats.org/officeDocument/2006/relationships/hyperlink" Target="https://www.linkedin.com/learning/zoom-leading-effective-and-engaging-calls" TargetMode="External"/><Relationship Id="rId166" Type="http://schemas.openxmlformats.org/officeDocument/2006/relationships/hyperlink" Target="https://www.linkedin.com/learning/managing-your-emotions-at-work" TargetMode="External"/><Relationship Id="rId1" Type="http://schemas.openxmlformats.org/officeDocument/2006/relationships/hyperlink" Target="https://www.linkedin.com/learning/working-in-harmony-as-a-senior-team"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s://www.linkedin.com/learning/leading-like-a-futurist" TargetMode="External"/><Relationship Id="rId21" Type="http://schemas.openxmlformats.org/officeDocument/2006/relationships/hyperlink" Target="https://www.linkedin.com/learning/creativity-bootcamp" TargetMode="External"/><Relationship Id="rId42" Type="http://schemas.openxmlformats.org/officeDocument/2006/relationships/hyperlink" Target="https://www.linkedin.com/learning/learning-brainstorming" TargetMode="External"/><Relationship Id="rId63" Type="http://schemas.openxmlformats.org/officeDocument/2006/relationships/hyperlink" Target="https://www.linkedin.com/learning/ideas-that-resonate" TargetMode="External"/><Relationship Id="rId84" Type="http://schemas.openxmlformats.org/officeDocument/2006/relationships/hyperlink" Target="https://www.linkedin.com/learning/design-thinking-implementing-the-process-revision-2021" TargetMode="External"/><Relationship Id="rId138" Type="http://schemas.openxmlformats.org/officeDocument/2006/relationships/hyperlink" Target="https://www.linkedin.com/learning/building-and-managing-signature-products" TargetMode="External"/><Relationship Id="rId159" Type="http://schemas.openxmlformats.org/officeDocument/2006/relationships/hyperlink" Target="https://www.linkedin.com/learning/the-definitive-drucker-getabstract-summary" TargetMode="External"/><Relationship Id="rId170" Type="http://schemas.openxmlformats.org/officeDocument/2006/relationships/hyperlink" Target="https://www.linkedin.com/learning/creating-and-managing-a-youtube-channel-revision" TargetMode="External"/><Relationship Id="rId191" Type="http://schemas.openxmlformats.org/officeDocument/2006/relationships/hyperlink" Target="https://www.linkedin.com/learning/introduction-to-content-marketing" TargetMode="External"/><Relationship Id="rId205" Type="http://schemas.openxmlformats.org/officeDocument/2006/relationships/hyperlink" Target="https://www.linkedin.com/learning/advertising-on-youtube-2019" TargetMode="External"/><Relationship Id="rId226" Type="http://schemas.openxmlformats.org/officeDocument/2006/relationships/hyperlink" Target="https://www.linkedin.com/learning/employer-branding-on-linkedin-revision-2020" TargetMode="External"/><Relationship Id="rId107" Type="http://schemas.openxmlformats.org/officeDocument/2006/relationships/hyperlink" Target="https://www.linkedin.com/learning/positioning-your-product-or-service" TargetMode="External"/><Relationship Id="rId11" Type="http://schemas.openxmlformats.org/officeDocument/2006/relationships/hyperlink" Target="https://www.linkedin.com/learning/privacy-in-the-age-of-covid-19" TargetMode="External"/><Relationship Id="rId32" Type="http://schemas.openxmlformats.org/officeDocument/2006/relationships/hyperlink" Target="https://www.linkedin.com/learning/gary-hamel-on-busting-bureaucracy/welcome" TargetMode="External"/><Relationship Id="rId53" Type="http://schemas.openxmlformats.org/officeDocument/2006/relationships/hyperlink" Target="https://www.linkedin.com/learning/paths/become-an-ama-professional-certified-marketer-in-digital-marketing" TargetMode="External"/><Relationship Id="rId74" Type="http://schemas.openxmlformats.org/officeDocument/2006/relationships/hyperlink" Target="https://www.linkedin.com/learning/marketing-your-side-hustle" TargetMode="External"/><Relationship Id="rId128" Type="http://schemas.openxmlformats.org/officeDocument/2006/relationships/hyperlink" Target="https://www.linkedin.com/learning/advertising-on-facebook-2019" TargetMode="External"/><Relationship Id="rId149" Type="http://schemas.openxmlformats.org/officeDocument/2006/relationships/hyperlink" Target="https://www.linkedin.com/learning/supply-chain-foundations" TargetMode="External"/><Relationship Id="rId5" Type="http://schemas.openxmlformats.org/officeDocument/2006/relationships/hyperlink" Target="https://www.linkedin.com/learning/critical-thinking-for-better-judgment-and-decision-making" TargetMode="External"/><Relationship Id="rId95" Type="http://schemas.openxmlformats.org/officeDocument/2006/relationships/hyperlink" Target="https://www.linkedin.com/learning/setting-a-marketing-budget" TargetMode="External"/><Relationship Id="rId160" Type="http://schemas.openxmlformats.org/officeDocument/2006/relationships/hyperlink" Target="https://www.linkedin.com/learning/marketing-to-generation-z" TargetMode="External"/><Relationship Id="rId181" Type="http://schemas.openxmlformats.org/officeDocument/2006/relationships/hyperlink" Target="https://www.linkedin.com/learning/developing-a-youtube-strategy" TargetMode="External"/><Relationship Id="rId216" Type="http://schemas.openxmlformats.org/officeDocument/2006/relationships/hyperlink" Target="https://www.linkedin.com/learning/growth-hacking-tips" TargetMode="External"/><Relationship Id="rId22" Type="http://schemas.openxmlformats.org/officeDocument/2006/relationships/hyperlink" Target="https://www.linkedin.com/learning/paths/stay-competitive-using-design-thinking" TargetMode="External"/><Relationship Id="rId43" Type="http://schemas.openxmlformats.org/officeDocument/2006/relationships/hyperlink" Target="https://www.linkedin.com/learning/delivering-results-effectively" TargetMode="External"/><Relationship Id="rId64" Type="http://schemas.openxmlformats.org/officeDocument/2006/relationships/hyperlink" Target="https://www.linkedin.com/learning/jonah-berger-on-viral-marketing/welcome" TargetMode="External"/><Relationship Id="rId118" Type="http://schemas.openxmlformats.org/officeDocument/2006/relationships/hyperlink" Target="https://www.linkedin.com/learning/practical-creativity-for-everyone" TargetMode="External"/><Relationship Id="rId139" Type="http://schemas.openxmlformats.org/officeDocument/2006/relationships/hyperlink" Target="https://www.linkedin.com/learning/decision-making-in-high-stress-situations" TargetMode="External"/><Relationship Id="rId85" Type="http://schemas.openxmlformats.org/officeDocument/2006/relationships/hyperlink" Target="https://www.linkedin.com/learning/process-improvement-foundations" TargetMode="External"/><Relationship Id="rId150" Type="http://schemas.openxmlformats.org/officeDocument/2006/relationships/hyperlink" Target="https://www.linkedin.com/learning/content-marketing-foundations-2020" TargetMode="External"/><Relationship Id="rId171" Type="http://schemas.openxmlformats.org/officeDocument/2006/relationships/hyperlink" Target="https://www.linkedin.com/learning/streaming-with-linkedin-live" TargetMode="External"/><Relationship Id="rId192" Type="http://schemas.openxmlformats.org/officeDocument/2006/relationships/hyperlink" Target="https://www.linkedin.com/learning/marketing-during-a-crisis" TargetMode="External"/><Relationship Id="rId206" Type="http://schemas.openxmlformats.org/officeDocument/2006/relationships/hyperlink" Target="https://www.linkedin.com/learning/master-the-strategies-methods-and-metrics-of-champion-marketers" TargetMode="External"/><Relationship Id="rId227" Type="http://schemas.openxmlformats.org/officeDocument/2006/relationships/hyperlink" Target="https://www.linkedin.com/learning/start-a-marketing-business-concept-to-launch" TargetMode="External"/><Relationship Id="rId12" Type="http://schemas.openxmlformats.org/officeDocument/2006/relationships/hyperlink" Target="https://www.linkedin.com/learning/paths/master-in-demand-professional-soft-skills?u=104" TargetMode="External"/><Relationship Id="rId33" Type="http://schemas.openxmlformats.org/officeDocument/2006/relationships/hyperlink" Target="https://www.linkedin.com/learning/paths/stay-competitive-using-design-thinking" TargetMode="External"/><Relationship Id="rId108" Type="http://schemas.openxmlformats.org/officeDocument/2006/relationships/hyperlink" Target="https://www.linkedin.com/learning/how-to-boost-your-creativity-at-home-in-10-days-uk" TargetMode="External"/><Relationship Id="rId129" Type="http://schemas.openxmlformats.org/officeDocument/2006/relationships/hyperlink" Target="https://www.linkedin.com/learning/unlocking-creativity-blinkist-summary" TargetMode="External"/><Relationship Id="rId54" Type="http://schemas.openxmlformats.org/officeDocument/2006/relationships/hyperlink" Target="https://www.linkedin.com/learning/unlock-your-team-s-creativity" TargetMode="External"/><Relationship Id="rId75" Type="http://schemas.openxmlformats.org/officeDocument/2006/relationships/hyperlink" Target="https://www.linkedin.com/learning/agile-software-development-creating-an-agile-culture" TargetMode="External"/><Relationship Id="rId96" Type="http://schemas.openxmlformats.org/officeDocument/2006/relationships/hyperlink" Target="https://www.linkedin.com/learning/applied-curiosity" TargetMode="External"/><Relationship Id="rId140" Type="http://schemas.openxmlformats.org/officeDocument/2006/relationships/hyperlink" Target="https://www.linkedin.com/learning/social-media-marketing-roi-2019" TargetMode="External"/><Relationship Id="rId161" Type="http://schemas.openxmlformats.org/officeDocument/2006/relationships/hyperlink" Target="https://www.linkedin.com/learning/marketing-tools-digital-marketing-revision-2020" TargetMode="External"/><Relationship Id="rId182" Type="http://schemas.openxmlformats.org/officeDocument/2006/relationships/hyperlink" Target="https://www.linkedin.com/learning/designing-an-authentic-brand" TargetMode="External"/><Relationship Id="rId217" Type="http://schemas.openxmlformats.org/officeDocument/2006/relationships/hyperlink" Target="https://www.linkedin.com/learning/improve-seo-for-your-ecommerce-site" TargetMode="External"/><Relationship Id="rId6" Type="http://schemas.openxmlformats.org/officeDocument/2006/relationships/hyperlink" Target="https://www.linkedin.com/learning/paths/improve-your-problem-solving-skills" TargetMode="External"/><Relationship Id="rId23" Type="http://schemas.openxmlformats.org/officeDocument/2006/relationships/hyperlink" Target="https://www.linkedin.com/learning/building-resilience" TargetMode="External"/><Relationship Id="rId119" Type="http://schemas.openxmlformats.org/officeDocument/2006/relationships/hyperlink" Target="https://www.linkedin.com/learning/social-media-marketing-tips" TargetMode="External"/><Relationship Id="rId44" Type="http://schemas.openxmlformats.org/officeDocument/2006/relationships/hyperlink" Target="https://www.linkedin.com/learning/advanced-google-ads-2020" TargetMode="External"/><Relationship Id="rId65" Type="http://schemas.openxmlformats.org/officeDocument/2006/relationships/hyperlink" Target="https://www.linkedin.com/learning/paths/improve-your-digital-marketing-skills" TargetMode="External"/><Relationship Id="rId86" Type="http://schemas.openxmlformats.org/officeDocument/2006/relationships/hyperlink" Target="https://www.linkedin.com/learning/online-marketing-foundations-3" TargetMode="External"/><Relationship Id="rId130" Type="http://schemas.openxmlformats.org/officeDocument/2006/relationships/hyperlink" Target="https://www.linkedin.com/learning/making-quick-decisions" TargetMode="External"/><Relationship Id="rId151" Type="http://schemas.openxmlformats.org/officeDocument/2006/relationships/hyperlink" Target="https://www.linkedin.com/learning/using-questions-to-foster-critical-thinking-and-curiosity/how-curiosity-can-open-doors" TargetMode="External"/><Relationship Id="rId172" Type="http://schemas.openxmlformats.org/officeDocument/2006/relationships/hyperlink" Target="https://www.linkedin.com/learning/business-analytics-marketing-data" TargetMode="External"/><Relationship Id="rId193" Type="http://schemas.openxmlformats.org/officeDocument/2006/relationships/hyperlink" Target="https://www.linkedin.com/learning/marketing-virtual-events" TargetMode="External"/><Relationship Id="rId207" Type="http://schemas.openxmlformats.org/officeDocument/2006/relationships/hyperlink" Target="https://www.linkedin.com/learning/building-and-managing-signature-products" TargetMode="External"/><Relationship Id="rId13" Type="http://schemas.openxmlformats.org/officeDocument/2006/relationships/hyperlink" Target="https://www.linkedin.com/learning/advanced-seo-search-factors-2019" TargetMode="External"/><Relationship Id="rId109" Type="http://schemas.openxmlformats.org/officeDocument/2006/relationships/hyperlink" Target="https://www.linkedin.com/learning/making-better-decisions-by-thinking-in-bets" TargetMode="External"/><Relationship Id="rId34" Type="http://schemas.openxmlformats.org/officeDocument/2006/relationships/hyperlink" Target="https://www.linkedin.com/learning/cultivating-a-growth-mindset" TargetMode="External"/><Relationship Id="rId55" Type="http://schemas.openxmlformats.org/officeDocument/2006/relationships/hyperlink" Target="https://www.linkedin.com/learning/enhancing-your-productivity" TargetMode="External"/><Relationship Id="rId76" Type="http://schemas.openxmlformats.org/officeDocument/2006/relationships/hyperlink" Target="https://www.linkedin.com/learning/monday-productivity-pointers" TargetMode="External"/><Relationship Id="rId97" Type="http://schemas.openxmlformats.org/officeDocument/2006/relationships/hyperlink" Target="https://www.linkedin.com/learning/successful-goal-setting" TargetMode="External"/><Relationship Id="rId120" Type="http://schemas.openxmlformats.org/officeDocument/2006/relationships/hyperlink" Target="https://www.linkedin.com/learning/banish-your-inner-critic-to-unleash-creativity-revision" TargetMode="External"/><Relationship Id="rId141" Type="http://schemas.openxmlformats.org/officeDocument/2006/relationships/hyperlink" Target="https://www.linkedin.com/learning/driving-innovation-a-leader-s-guide-to-ownership-and-accountability-for-creative-teams" TargetMode="External"/><Relationship Id="rId7" Type="http://schemas.openxmlformats.org/officeDocument/2006/relationships/hyperlink" Target="https://www.linkedin.com/learning/value-based-pricing-2019" TargetMode="External"/><Relationship Id="rId162" Type="http://schemas.openxmlformats.org/officeDocument/2006/relationships/hyperlink" Target="https://www.linkedin.com/learning/content-marketing-for-social-media/accelerate-your-content-marketing-on-social-media" TargetMode="External"/><Relationship Id="rId183" Type="http://schemas.openxmlformats.org/officeDocument/2006/relationships/hyperlink" Target="https://www.linkedin.com/learning/marketing-on-twitter,https:/www.linkedin.com/learning/marketing-on-twitter-2020" TargetMode="External"/><Relationship Id="rId218" Type="http://schemas.openxmlformats.org/officeDocument/2006/relationships/hyperlink" Target="https://www.linkedin.com/learning/social-media-marketing-optimization-2019" TargetMode="External"/><Relationship Id="rId24" Type="http://schemas.openxmlformats.org/officeDocument/2006/relationships/hyperlink" Target="https://www.linkedin.com/learning/paths/develop-critical-thinking-decision-making-and-problem-solving-skills" TargetMode="External"/><Relationship Id="rId45" Type="http://schemas.openxmlformats.org/officeDocument/2006/relationships/hyperlink" Target="https://www.linkedin.com/learning/paths/become-a-social-media-advertising-specialist" TargetMode="External"/><Relationship Id="rId66" Type="http://schemas.openxmlformats.org/officeDocument/2006/relationships/hyperlink" Target="https://www.linkedin.com/learning/mission-and-vision-statements-explained" TargetMode="External"/><Relationship Id="rId87" Type="http://schemas.openxmlformats.org/officeDocument/2006/relationships/hyperlink" Target="https://www.linkedin.com/learning/charles-adler-a-story-of-kickstarting-an-idea" TargetMode="External"/><Relationship Id="rId110" Type="http://schemas.openxmlformats.org/officeDocument/2006/relationships/hyperlink" Target="https://www.linkedin.com/learning/marketing-programs-that-power-customer-acquisition" TargetMode="External"/><Relationship Id="rId131" Type="http://schemas.openxmlformats.org/officeDocument/2006/relationships/hyperlink" Target="https://www.linkedin.com/learning/content-marketing-newsletters-2019" TargetMode="External"/><Relationship Id="rId152" Type="http://schemas.openxmlformats.org/officeDocument/2006/relationships/hyperlink" Target="https://www.linkedin.com/learning/learning-google-adsense-2019" TargetMode="External"/><Relationship Id="rId173" Type="http://schemas.openxmlformats.org/officeDocument/2006/relationships/hyperlink" Target="https://www.linkedin.com/learning/creating-an-editorial-calendar-revision-2020" TargetMode="External"/><Relationship Id="rId194" Type="http://schemas.openxmlformats.org/officeDocument/2006/relationships/hyperlink" Target="https://www.linkedin.com/learning/seo-ecommerce-strategies-revision-2020" TargetMode="External"/><Relationship Id="rId208" Type="http://schemas.openxmlformats.org/officeDocument/2006/relationships/hyperlink" Target="https://www.linkedin.com/learning/social-media-monitoring-strategies-and-skills-revision-2020" TargetMode="External"/><Relationship Id="rId14" Type="http://schemas.openxmlformats.org/officeDocument/2006/relationships/hyperlink" Target="https://www.linkedin.com/learning/paths/become-a-digital-marketer" TargetMode="External"/><Relationship Id="rId35" Type="http://schemas.openxmlformats.org/officeDocument/2006/relationships/hyperlink" Target="https://www.linkedin.com/learning/advertising-on-facebook-advanced-2020" TargetMode="External"/><Relationship Id="rId56" Type="http://schemas.openxmlformats.org/officeDocument/2006/relationships/hyperlink" Target="https://www.linkedin.com/learning/digital-marketing-trends" TargetMode="External"/><Relationship Id="rId77" Type="http://schemas.openxmlformats.org/officeDocument/2006/relationships/hyperlink" Target="https://www.linkedin.com/learning/marketing-tips-2" TargetMode="External"/><Relationship Id="rId100" Type="http://schemas.openxmlformats.org/officeDocument/2006/relationships/hyperlink" Target="https://www.linkedin.com/learning/time-tested-methods-for-making-complex-decisions" TargetMode="External"/><Relationship Id="rId8" Type="http://schemas.openxmlformats.org/officeDocument/2006/relationships/hyperlink" Target="https://www.linkedin.com/learning/paths/become-a-digital-advertising-specialist" TargetMode="External"/><Relationship Id="rId98" Type="http://schemas.openxmlformats.org/officeDocument/2006/relationships/hyperlink" Target="https://www.linkedin.com/learning/marketing-on-linkedin-the-sophisticated-marketer-s-guide" TargetMode="External"/><Relationship Id="rId121" Type="http://schemas.openxmlformats.org/officeDocument/2006/relationships/hyperlink" Target="https://www.linkedin.com/learning/powerless-to-powerful-taking-control" TargetMode="External"/><Relationship Id="rId142" Type="http://schemas.openxmlformats.org/officeDocument/2006/relationships/hyperlink" Target="https://www.linkedin.com/learning/marketing-foundations-2019" TargetMode="External"/><Relationship Id="rId163" Type="http://schemas.openxmlformats.org/officeDocument/2006/relationships/hyperlink" Target="https://www.linkedin.com/learning/marketing-on-instagram-revision-2020" TargetMode="External"/><Relationship Id="rId184" Type="http://schemas.openxmlformats.org/officeDocument/2006/relationships/hyperlink" Target="https://www.linkedin.com/learning/international-marketing-foundations,https:/www.linkedin.com/learning/international-marketing-foundations-revision-2020" TargetMode="External"/><Relationship Id="rId219" Type="http://schemas.openxmlformats.org/officeDocument/2006/relationships/hyperlink" Target="https://www.linkedin.com/learning/seo-keyword-strategy-2020" TargetMode="External"/><Relationship Id="rId3" Type="http://schemas.openxmlformats.org/officeDocument/2006/relationships/hyperlink" Target="https://www.linkedin.com/learning/building-creative-organizations-2019" TargetMode="External"/><Relationship Id="rId214" Type="http://schemas.openxmlformats.org/officeDocument/2006/relationships/hyperlink" Target="https://www.linkedin.com/learning/create-a-go-to-market-plan-2,https:/www.linkedin.com/learning/create-a-go-to-market-plan-revision-2020" TargetMode="External"/><Relationship Id="rId25" Type="http://schemas.openxmlformats.org/officeDocument/2006/relationships/hyperlink" Target="https://www.linkedin.com/learning/advanced-lead-generation-2019" TargetMode="External"/><Relationship Id="rId46" Type="http://schemas.openxmlformats.org/officeDocument/2006/relationships/hyperlink" Target="https://www.linkedin.com/learning/take-a-more-creative-approach-to-problem-solving" TargetMode="External"/><Relationship Id="rId67" Type="http://schemas.openxmlformats.org/officeDocument/2006/relationships/hyperlink" Target="https://www.linkedin.com/learning/improving-your-judgment" TargetMode="External"/><Relationship Id="rId116" Type="http://schemas.openxmlformats.org/officeDocument/2006/relationships/hyperlink" Target="https://www.linkedin.com/learning/determining-market-size-for-your-product-or-service" TargetMode="External"/><Relationship Id="rId137" Type="http://schemas.openxmlformats.org/officeDocument/2006/relationships/hyperlink" Target="https://www.linkedin.com/learning/market-research-foundations-2019" TargetMode="External"/><Relationship Id="rId158" Type="http://schemas.openxmlformats.org/officeDocument/2006/relationships/hyperlink" Target="https://www.linkedin.com/learning/branding-foundations-revision-2020" TargetMode="External"/><Relationship Id="rId20" Type="http://schemas.openxmlformats.org/officeDocument/2006/relationships/hyperlink" Target="https://www.linkedin.com/learning/paths/become-a-digital-marketing-specialist" TargetMode="External"/><Relationship Id="rId41" Type="http://schemas.openxmlformats.org/officeDocument/2006/relationships/hyperlink" Target="https://www.linkedin.com/learning/paths/become-a-public-relations-specialist" TargetMode="External"/><Relationship Id="rId62" Type="http://schemas.openxmlformats.org/officeDocument/2006/relationships/hyperlink" Target="https://www.linkedin.com/learning/building-a-creative-online-community" TargetMode="External"/><Relationship Id="rId83" Type="http://schemas.openxmlformats.org/officeDocument/2006/relationships/hyperlink" Target="https://www.linkedin.com/learning/mobile-marketing-foundations-2" TargetMode="External"/><Relationship Id="rId88" Type="http://schemas.openxmlformats.org/officeDocument/2006/relationships/hyperlink" Target="https://www.linkedin.com/learning/sheryl-sandberg-and-adam-grant-on-option-b-building-resilience" TargetMode="External"/><Relationship Id="rId111" Type="http://schemas.openxmlformats.org/officeDocument/2006/relationships/hyperlink" Target="https://www.linkedin.com/learning/21-day-creative-exercise-desk-challenge" TargetMode="External"/><Relationship Id="rId132" Type="http://schemas.openxmlformats.org/officeDocument/2006/relationships/hyperlink" Target="https://www.linkedin.com/learning/design-thinking-understanding-the-process-revision-2021" TargetMode="External"/><Relationship Id="rId153" Type="http://schemas.openxmlformats.org/officeDocument/2006/relationships/hyperlink" Target="https://www.linkedin.com/learning/psychological-safety-clear-blocks-to-innovation-collaboration-and-risk-taking" TargetMode="External"/><Relationship Id="rId174" Type="http://schemas.openxmlformats.org/officeDocument/2006/relationships/hyperlink" Target="https://www.linkedin.com/learning/affiliate-marketing-foundations-revision-2020" TargetMode="External"/><Relationship Id="rId179" Type="http://schemas.openxmlformats.org/officeDocument/2006/relationships/hyperlink" Target="https://www.linkedin.com/learning/creating-a-buzz" TargetMode="External"/><Relationship Id="rId195" Type="http://schemas.openxmlformats.org/officeDocument/2006/relationships/hyperlink" Target="https://www.linkedin.com/learning/how-to-tell-stories-that-win-market-share" TargetMode="External"/><Relationship Id="rId209" Type="http://schemas.openxmlformats.org/officeDocument/2006/relationships/hyperlink" Target="https://www.linkedin.com/learning/b2b-marketing-on-linkedin-2,https:/www.linkedin.com/learning/b2b-marketing-on-linkedin-revision-2020" TargetMode="External"/><Relationship Id="rId190" Type="http://schemas.openxmlformats.org/officeDocument/2006/relationships/hyperlink" Target="https://www.linkedin.com/learning/marketing-on-twitter-2019" TargetMode="External"/><Relationship Id="rId204" Type="http://schemas.openxmlformats.org/officeDocument/2006/relationships/hyperlink" Target="https://www.linkedin.com/learning/advertising-on-pinterest-2019" TargetMode="External"/><Relationship Id="rId220" Type="http://schemas.openxmlformats.org/officeDocument/2006/relationships/hyperlink" Target="https://www.linkedin.com/learning/seo-videos-2020" TargetMode="External"/><Relationship Id="rId225" Type="http://schemas.openxmlformats.org/officeDocument/2006/relationships/hyperlink" Target="https://www.linkedin.com/learning/17-questions-to-help-improve-your-marketing" TargetMode="External"/><Relationship Id="rId15" Type="http://schemas.openxmlformats.org/officeDocument/2006/relationships/hyperlink" Target="https://www.linkedin.com/learning/creative-thinking" TargetMode="External"/><Relationship Id="rId36" Type="http://schemas.openxmlformats.org/officeDocument/2006/relationships/hyperlink" Target="https://www.linkedin.com/learning/paths/become-a-marketing-specialist-2" TargetMode="External"/><Relationship Id="rId57" Type="http://schemas.openxmlformats.org/officeDocument/2006/relationships/hyperlink" Target="https://www.linkedin.com/learning/paths/become-an-online-marketing-manager" TargetMode="External"/><Relationship Id="rId106" Type="http://schemas.openxmlformats.org/officeDocument/2006/relationships/hyperlink" Target="https://www.linkedin.com/learning/improving-your-judgment-for-better-decision-making-2020" TargetMode="External"/><Relationship Id="rId127" Type="http://schemas.openxmlformats.org/officeDocument/2006/relationships/hyperlink" Target="https://www.linkedin.com/learning/executive-decision-making" TargetMode="External"/><Relationship Id="rId10" Type="http://schemas.openxmlformats.org/officeDocument/2006/relationships/hyperlink" Target="https://www.linkedin.com/learning/paths/improve-your-creativity-skills?u=104" TargetMode="External"/><Relationship Id="rId31" Type="http://schemas.openxmlformats.org/officeDocument/2006/relationships/hyperlink" Target="https://www.linkedin.com/learning/paths/become-a-marketing-manager" TargetMode="External"/><Relationship Id="rId52" Type="http://schemas.openxmlformats.org/officeDocument/2006/relationships/hyperlink" Target="https://www.linkedin.com/learning/b2b-foundations-social-media-marketing" TargetMode="External"/><Relationship Id="rId73" Type="http://schemas.openxmlformats.org/officeDocument/2006/relationships/hyperlink" Target="https://www.linkedin.com/learning/learning-from-failure" TargetMode="External"/><Relationship Id="rId78" Type="http://schemas.openxmlformats.org/officeDocument/2006/relationships/hyperlink" Target="https://www.linkedin.com/learning/introduction-to-responsible-ai-algorithm-design" TargetMode="External"/><Relationship Id="rId94" Type="http://schemas.openxmlformats.org/officeDocument/2006/relationships/hyperlink" Target="https://www.linkedin.com/learning/solving-business-problems" TargetMode="External"/><Relationship Id="rId99" Type="http://schemas.openxmlformats.org/officeDocument/2006/relationships/hyperlink" Target="https://www.linkedin.com/learning/creativity-generate-ideas-in-greater-quantity-and-quality" TargetMode="External"/><Relationship Id="rId101" Type="http://schemas.openxmlformats.org/officeDocument/2006/relationships/hyperlink" Target="https://www.linkedin.com/learning/building-a-creative-online-community" TargetMode="External"/><Relationship Id="rId122" Type="http://schemas.openxmlformats.org/officeDocument/2006/relationships/hyperlink" Target="https://www.linkedin.com/learning/marketing-tools-social-media" TargetMode="External"/><Relationship Id="rId143" Type="http://schemas.openxmlformats.org/officeDocument/2006/relationships/hyperlink" Target="https://www.linkedin.com/learning/creativity-and-learning-a-conversation-with-lynda-barry" TargetMode="External"/><Relationship Id="rId148" Type="http://schemas.openxmlformats.org/officeDocument/2006/relationships/hyperlink" Target="https://www.linkedin.com/learning/marketing-and-monetizing-on-youtube-2019" TargetMode="External"/><Relationship Id="rId164" Type="http://schemas.openxmlformats.org/officeDocument/2006/relationships/hyperlink" Target="https://www.linkedin.com/learning/introduction-to-social-media-strategy" TargetMode="External"/><Relationship Id="rId169" Type="http://schemas.openxmlformats.org/officeDocument/2006/relationships/hyperlink" Target="https://www.linkedin.com/learning/marketing-foundations-consumer-behavior-revision-2020" TargetMode="External"/><Relationship Id="rId185" Type="http://schemas.openxmlformats.org/officeDocument/2006/relationships/hyperlink" Target="https://www.linkedin.com/learning/learning-logo-design,https:/www.linkedin.com/learning/learning-logo-design-revision" TargetMode="External"/><Relationship Id="rId4" Type="http://schemas.openxmlformats.org/officeDocument/2006/relationships/hyperlink" Target="https://www.linkedin.com/learning/paths/fostering-innovation" TargetMode="External"/><Relationship Id="rId9" Type="http://schemas.openxmlformats.org/officeDocument/2006/relationships/hyperlink" Target="https://www.linkedin.com/learning/business-innovation-foundations" TargetMode="External"/><Relationship Id="rId180" Type="http://schemas.openxmlformats.org/officeDocument/2006/relationships/hyperlink" Target="https://www.linkedin.com/learning/direct-mail-marketing" TargetMode="External"/><Relationship Id="rId210" Type="http://schemas.openxmlformats.org/officeDocument/2006/relationships/hyperlink" Target="https://www.linkedin.com/learning/content-marketing-roi,https:/www.linkedin.com/learning/content-marketing-roi-2,https:/www.linkedin.com/learning/content-marketing-roi-revision-2020" TargetMode="External"/><Relationship Id="rId215" Type="http://schemas.openxmlformats.org/officeDocument/2006/relationships/hyperlink" Target="https://www.linkedin.com/learning/marketing-tools-seo-2019" TargetMode="External"/><Relationship Id="rId26" Type="http://schemas.openxmlformats.org/officeDocument/2006/relationships/hyperlink" Target="https://www.linkedin.com/learning/paths/become-a-marketing-coordinator" TargetMode="External"/><Relationship Id="rId47" Type="http://schemas.openxmlformats.org/officeDocument/2006/relationships/hyperlink" Target="https://www.linkedin.com/learning/developing-a-learning-mindset" TargetMode="External"/><Relationship Id="rId68" Type="http://schemas.openxmlformats.org/officeDocument/2006/relationships/hyperlink" Target="https://www.linkedin.com/learning/lifecycle-marketing-foundations" TargetMode="External"/><Relationship Id="rId89" Type="http://schemas.openxmlformats.org/officeDocument/2006/relationships/hyperlink" Target="https://www.linkedin.com/learning/power-bi-for-marketers" TargetMode="External"/><Relationship Id="rId112" Type="http://schemas.openxmlformats.org/officeDocument/2006/relationships/hyperlink" Target="https://www.linkedin.com/learning/overcoming-cognitive-bias" TargetMode="External"/><Relationship Id="rId133" Type="http://schemas.openxmlformats.org/officeDocument/2006/relationships/hyperlink" Target="https://www.linkedin.com/learning/project-management-solving-common-project-problems" TargetMode="External"/><Relationship Id="rId154" Type="http://schemas.openxmlformats.org/officeDocument/2006/relationships/hyperlink" Target="https://www.linkedin.com/learning/advertising-on-twitter-2020" TargetMode="External"/><Relationship Id="rId175" Type="http://schemas.openxmlformats.org/officeDocument/2006/relationships/hyperlink" Target="https://www.linkedin.com/learning/programmatic-advertising-foundations-2020" TargetMode="External"/><Relationship Id="rId196" Type="http://schemas.openxmlformats.org/officeDocument/2006/relationships/hyperlink" Target="https://www.linkedin.com/learning/the-22-immutable-laws-of-branding-blinkist-summary" TargetMode="External"/><Relationship Id="rId200" Type="http://schemas.openxmlformats.org/officeDocument/2006/relationships/hyperlink" Target="https://www.linkedin.com/learning/b2b-marketing-foundations-positioning" TargetMode="External"/><Relationship Id="rId16" Type="http://schemas.openxmlformats.org/officeDocument/2006/relationships/hyperlink" Target="https://www.linkedin.com/learning/paths/improve-your-problem-solving-skills" TargetMode="External"/><Relationship Id="rId221" Type="http://schemas.openxmlformats.org/officeDocument/2006/relationships/hyperlink" Target="https://www.linkedin.com/learning/seo-for-social-media" TargetMode="External"/><Relationship Id="rId37" Type="http://schemas.openxmlformats.org/officeDocument/2006/relationships/hyperlink" Target="https://www.linkedin.com/learning/jeff-dyer-on-innovation" TargetMode="External"/><Relationship Id="rId58" Type="http://schemas.openxmlformats.org/officeDocument/2006/relationships/hyperlink" Target="https://www.linkedin.com/learning/working-with-creatives" TargetMode="External"/><Relationship Id="rId79" Type="http://schemas.openxmlformats.org/officeDocument/2006/relationships/hyperlink" Target="https://www.linkedin.com/learning/prioritizing-your-tasks" TargetMode="External"/><Relationship Id="rId102" Type="http://schemas.openxmlformats.org/officeDocument/2006/relationships/hyperlink" Target="https://www.linkedin.com/learning/ideas-that-resonate" TargetMode="External"/><Relationship Id="rId123" Type="http://schemas.openxmlformats.org/officeDocument/2006/relationships/hyperlink" Target="https://www.linkedin.com/learning/implementing-creative-feedback-the-win-win-way" TargetMode="External"/><Relationship Id="rId144" Type="http://schemas.openxmlformats.org/officeDocument/2006/relationships/hyperlink" Target="https://www.linkedin.com/learning/shopify-ecommerce-for-marketers" TargetMode="External"/><Relationship Id="rId90" Type="http://schemas.openxmlformats.org/officeDocument/2006/relationships/hyperlink" Target="https://www.linkedin.com/learning/practical-creativity-for-everyone" TargetMode="External"/><Relationship Id="rId165" Type="http://schemas.openxmlformats.org/officeDocument/2006/relationships/hyperlink" Target="https://www.linkedin.com/learning/small-business-marketing-revision-2020" TargetMode="External"/><Relationship Id="rId186" Type="http://schemas.openxmlformats.org/officeDocument/2006/relationships/hyperlink" Target="https://www.linkedin.com/learning/creating-social-content-with-adobe-animate-cc" TargetMode="External"/><Relationship Id="rId211" Type="http://schemas.openxmlformats.org/officeDocument/2006/relationships/hyperlink" Target="https://www.linkedin.com/learning/marketing-conversion-rate-optimization-revision-2020" TargetMode="External"/><Relationship Id="rId27" Type="http://schemas.openxmlformats.org/officeDocument/2006/relationships/hyperlink" Target="https://www.linkedin.com/learning/creativity-for-all" TargetMode="External"/><Relationship Id="rId48" Type="http://schemas.openxmlformats.org/officeDocument/2006/relationships/hyperlink" Target="https://www.linkedin.com/learning/seo-link-building-revision-2020" TargetMode="External"/><Relationship Id="rId69" Type="http://schemas.openxmlformats.org/officeDocument/2006/relationships/hyperlink" Target="https://www.linkedin.com/learning/icebreakers-for-teams-meetings-and-groups" TargetMode="External"/><Relationship Id="rId113" Type="http://schemas.openxmlformats.org/officeDocument/2006/relationships/hyperlink" Target="https://www.linkedin.com/learning/creating-marketing-objectives" TargetMode="External"/><Relationship Id="rId134" Type="http://schemas.openxmlformats.org/officeDocument/2006/relationships/hyperlink" Target="https://www.linkedin.com/learning/identifying-your-target-market" TargetMode="External"/><Relationship Id="rId80" Type="http://schemas.openxmlformats.org/officeDocument/2006/relationships/hyperlink" Target="https://www.linkedin.com/learning/marketing-to-humans" TargetMode="External"/><Relationship Id="rId155" Type="http://schemas.openxmlformats.org/officeDocument/2006/relationships/hyperlink" Target="https://www.linkedin.com/learning/balancing-innovation-and-risk" TargetMode="External"/><Relationship Id="rId176" Type="http://schemas.openxmlformats.org/officeDocument/2006/relationships/hyperlink" Target="https://www.linkedin.com/learning/international-seo-revision-2020" TargetMode="External"/><Relationship Id="rId197" Type="http://schemas.openxmlformats.org/officeDocument/2006/relationships/hyperlink" Target="https://www.linkedin.com/learning/disruptive-branding-blinkist-summary" TargetMode="External"/><Relationship Id="rId201" Type="http://schemas.openxmlformats.org/officeDocument/2006/relationships/hyperlink" Target="https://www.linkedin.com/learning/building-your-marketing-technology-stack" TargetMode="External"/><Relationship Id="rId222" Type="http://schemas.openxmlformats.org/officeDocument/2006/relationships/hyperlink" Target="https://www.linkedin.com/learning/aligning-sales-and-marketing" TargetMode="External"/><Relationship Id="rId17" Type="http://schemas.openxmlformats.org/officeDocument/2006/relationships/hyperlink" Target="https://www.linkedin.com/learning/the-undercover-economist-the-economics-behind-everyday-decisions-blinkist-summary" TargetMode="External"/><Relationship Id="rId38" Type="http://schemas.openxmlformats.org/officeDocument/2006/relationships/hyperlink" Target="https://www.linkedin.com/learning/paths/develop-your-creative-thinking-and-innovation-skills" TargetMode="External"/><Relationship Id="rId59" Type="http://schemas.openxmlformats.org/officeDocument/2006/relationships/hyperlink" Target="https://www.linkedin.com/learning/fred-kofman-on-making-commitments" TargetMode="External"/><Relationship Id="rId103" Type="http://schemas.openxmlformats.org/officeDocument/2006/relationships/hyperlink" Target="https://www.linkedin.com/learning/crafting-problem-and-solution-statements" TargetMode="External"/><Relationship Id="rId124" Type="http://schemas.openxmlformats.org/officeDocument/2006/relationships/hyperlink" Target="https://www.linkedin.com/learning/cultivating-mental-agility" TargetMode="External"/><Relationship Id="rId70" Type="http://schemas.openxmlformats.org/officeDocument/2006/relationships/hyperlink" Target="https://www.linkedin.com/learning/learning-agility" TargetMode="External"/><Relationship Id="rId91" Type="http://schemas.openxmlformats.org/officeDocument/2006/relationships/hyperlink" Target="https://www.linkedin.com/learning/simplifying-business-processes" TargetMode="External"/><Relationship Id="rId145" Type="http://schemas.openxmlformats.org/officeDocument/2006/relationships/hyperlink" Target="https://www.linkedin.com/learning/enhancing-team-innovation" TargetMode="External"/><Relationship Id="rId166" Type="http://schemas.openxmlformats.org/officeDocument/2006/relationships/hyperlink" Target="https://www.linkedin.com/learning/marketing-tools-automation" TargetMode="External"/><Relationship Id="rId187" Type="http://schemas.openxmlformats.org/officeDocument/2006/relationships/hyperlink" Target="https://www.linkedin.com/learning/social-media-for-video-pros-revision" TargetMode="External"/><Relationship Id="rId1" Type="http://schemas.openxmlformats.org/officeDocument/2006/relationships/hyperlink" Target="https://www.linkedin.com/learning/building-an-integrated-online-marketing-plan-2" TargetMode="External"/><Relationship Id="rId212" Type="http://schemas.openxmlformats.org/officeDocument/2006/relationships/hyperlink" Target="https://www.linkedin.com/learning/email-marketing-strategy-and-optimization" TargetMode="External"/><Relationship Id="rId28" Type="http://schemas.openxmlformats.org/officeDocument/2006/relationships/hyperlink" Target="https://www.linkedin.com/learning/paths/working-with-creatives-2" TargetMode="External"/><Relationship Id="rId49" Type="http://schemas.openxmlformats.org/officeDocument/2006/relationships/hyperlink" Target="https://www.linkedin.com/learning/paths/become-a-social-media-marketer" TargetMode="External"/><Relationship Id="rId114" Type="http://schemas.openxmlformats.org/officeDocument/2006/relationships/hyperlink" Target="https://www.linkedin.com/learning/mapping-innovation-a-playbook-for-navigating-a-disruptive-age-getabstract-summary" TargetMode="External"/><Relationship Id="rId60" Type="http://schemas.openxmlformats.org/officeDocument/2006/relationships/hyperlink" Target="https://www.linkedin.com/learning/growth-hacking-foundations" TargetMode="External"/><Relationship Id="rId81" Type="http://schemas.openxmlformats.org/officeDocument/2006/relationships/hyperlink" Target="https://www.linkedin.com/learning/how-blockchains-will-change-business" TargetMode="External"/><Relationship Id="rId135" Type="http://schemas.openxmlformats.org/officeDocument/2006/relationships/hyperlink" Target="https://www.linkedin.com/learning/ux-deep-dive-remote-research" TargetMode="External"/><Relationship Id="rId156" Type="http://schemas.openxmlformats.org/officeDocument/2006/relationships/hyperlink" Target="https://www.linkedin.com/learning/social-media-marketing-foundations-2020" TargetMode="External"/><Relationship Id="rId177" Type="http://schemas.openxmlformats.org/officeDocument/2006/relationships/hyperlink" Target="https://www.linkedin.com/learning/marketing-customer-segmentation-revision-2020" TargetMode="External"/><Relationship Id="rId198" Type="http://schemas.openxmlformats.org/officeDocument/2006/relationships/hyperlink" Target="https://www.linkedin.com/learning/artificial-intelligence-for-marketing" TargetMode="External"/><Relationship Id="rId202" Type="http://schemas.openxmlformats.org/officeDocument/2006/relationships/hyperlink" Target="https://www.linkedin.com/learning/social-media-marketing-social-crm" TargetMode="External"/><Relationship Id="rId223" Type="http://schemas.openxmlformats.org/officeDocument/2006/relationships/hyperlink" Target="https://www.linkedin.com/learning/python-for-marketing" TargetMode="External"/><Relationship Id="rId18" Type="http://schemas.openxmlformats.org/officeDocument/2006/relationships/hyperlink" Target="https://www.linkedin.com/learning/paths/improve-your-organizational-skills" TargetMode="External"/><Relationship Id="rId39" Type="http://schemas.openxmlformats.org/officeDocument/2006/relationships/hyperlink" Target="https://www.linkedin.com/learning/decision-making-strategies" TargetMode="External"/><Relationship Id="rId50" Type="http://schemas.openxmlformats.org/officeDocument/2006/relationships/hyperlink" Target="https://www.linkedin.com/learning/the-five-step-creative-process/welcome" TargetMode="External"/><Relationship Id="rId104" Type="http://schemas.openxmlformats.org/officeDocument/2006/relationships/hyperlink" Target="https://www.linkedin.com/learning/social-media-video-for-business-and-marketing" TargetMode="External"/><Relationship Id="rId125" Type="http://schemas.openxmlformats.org/officeDocument/2006/relationships/hyperlink" Target="https://www.linkedin.com/learning/marketing-foundations-automation" TargetMode="External"/><Relationship Id="rId146" Type="http://schemas.openxmlformats.org/officeDocument/2006/relationships/hyperlink" Target="https://www.linkedin.com/learning/learning-mailchimp-2019" TargetMode="External"/><Relationship Id="rId167" Type="http://schemas.openxmlformats.org/officeDocument/2006/relationships/hyperlink" Target="https://www.linkedin.com/learning/marketing-analytics-setting-and-measuring-kpis-2020" TargetMode="External"/><Relationship Id="rId188" Type="http://schemas.openxmlformats.org/officeDocument/2006/relationships/hyperlink" Target="https://www.linkedin.com/learning/social-media-marketing-for-small-business" TargetMode="External"/><Relationship Id="rId71" Type="http://schemas.openxmlformats.org/officeDocument/2006/relationships/hyperlink" Target="https://www.linkedin.com/learning/marketing-foundations-international-marketing" TargetMode="External"/><Relationship Id="rId92" Type="http://schemas.openxmlformats.org/officeDocument/2006/relationships/hyperlink" Target="https://www.linkedin.com/learning/seo-foundations-2" TargetMode="External"/><Relationship Id="rId213" Type="http://schemas.openxmlformats.org/officeDocument/2006/relationships/hyperlink" Target="https://www.linkedin.com/learning/advertising-on-youtube,https:/www.linkedin.com/learning/advertising-on-youtube-2020" TargetMode="External"/><Relationship Id="rId2" Type="http://schemas.openxmlformats.org/officeDocument/2006/relationships/hyperlink" Target="https://www.linkedin.com/learning/paths/become-a-content-strategist-2" TargetMode="External"/><Relationship Id="rId29" Type="http://schemas.openxmlformats.org/officeDocument/2006/relationships/hyperlink" Target="https://www.linkedin.com/learning/critical-thinking" TargetMode="External"/><Relationship Id="rId40" Type="http://schemas.openxmlformats.org/officeDocument/2006/relationships/hyperlink" Target="https://www.linkedin.com/learning/advanced-content-marketing" TargetMode="External"/><Relationship Id="rId115" Type="http://schemas.openxmlformats.org/officeDocument/2006/relationships/hyperlink" Target="https://www.linkedin.com/learning/improving-your-thinking" TargetMode="External"/><Relationship Id="rId136" Type="http://schemas.openxmlformats.org/officeDocument/2006/relationships/hyperlink" Target="https://www.linkedin.com/learning/using-questions-to-foster-critical-thinking-and-curiosity" TargetMode="External"/><Relationship Id="rId157" Type="http://schemas.openxmlformats.org/officeDocument/2006/relationships/hyperlink" Target="https://www.linkedin.com/learning/managing-innovation" TargetMode="External"/><Relationship Id="rId178" Type="http://schemas.openxmlformats.org/officeDocument/2006/relationships/hyperlink" Target="https://www.linkedin.com/learning/marketing-on-facebook-2020" TargetMode="External"/><Relationship Id="rId61" Type="http://schemas.openxmlformats.org/officeDocument/2006/relationships/hyperlink" Target="https://www.linkedin.com/learning/paths/develop-your-marketing-skills" TargetMode="External"/><Relationship Id="rId82" Type="http://schemas.openxmlformats.org/officeDocument/2006/relationships/hyperlink" Target="https://www.linkedin.com/learning/problem-solving-techniques" TargetMode="External"/><Relationship Id="rId199" Type="http://schemas.openxmlformats.org/officeDocument/2006/relationships/hyperlink" Target="https://www.linkedin.com/learning/social-media-marketing-trends" TargetMode="External"/><Relationship Id="rId203" Type="http://schemas.openxmlformats.org/officeDocument/2006/relationships/hyperlink" Target="https://www.linkedin.com/learning/the-data-science-of-marketing" TargetMode="External"/><Relationship Id="rId19" Type="http://schemas.openxmlformats.org/officeDocument/2006/relationships/hyperlink" Target="https://www.linkedin.com/learning/advanced-product-marketing" TargetMode="External"/><Relationship Id="rId224" Type="http://schemas.openxmlformats.org/officeDocument/2006/relationships/hyperlink" Target="https://www.linkedin.com/learning/advertising-on-instagram-2020" TargetMode="External"/><Relationship Id="rId30" Type="http://schemas.openxmlformats.org/officeDocument/2006/relationships/hyperlink" Target="https://www.linkedin.com/learning/advanced-google-analytics" TargetMode="External"/><Relationship Id="rId105" Type="http://schemas.openxmlformats.org/officeDocument/2006/relationships/hyperlink" Target="https://www.linkedin.com/learning/leading-with-innovation/welcome" TargetMode="External"/><Relationship Id="rId126" Type="http://schemas.openxmlformats.org/officeDocument/2006/relationships/hyperlink" Target="https://www.linkedin.com/learning/defining-your-creative-edge-to-promote-your-work" TargetMode="External"/><Relationship Id="rId147" Type="http://schemas.openxmlformats.org/officeDocument/2006/relationships/hyperlink" Target="https://www.linkedin.com/learning/leaders-make-your-teams-more-agile-creative-and-united" TargetMode="External"/><Relationship Id="rId168" Type="http://schemas.openxmlformats.org/officeDocument/2006/relationships/hyperlink" Target="https://www.linkedin.com/learning/building-a-winning-enterprise-marketing-strategy" TargetMode="External"/><Relationship Id="rId51" Type="http://schemas.openxmlformats.org/officeDocument/2006/relationships/hyperlink" Target="https://www.linkedin.com/learning/enhancing-resilience" TargetMode="External"/><Relationship Id="rId72" Type="http://schemas.openxmlformats.org/officeDocument/2006/relationships/hyperlink" Target="https://www.linkedin.com/learning/how-getting-curious-helps-you-achieve-everything" TargetMode="External"/><Relationship Id="rId93" Type="http://schemas.openxmlformats.org/officeDocument/2006/relationships/hyperlink" Target="https://www.linkedin.com/learning/graphic-design-foundations-ideas-concepts-and-form" TargetMode="External"/><Relationship Id="rId189" Type="http://schemas.openxmlformats.org/officeDocument/2006/relationships/hyperlink" Target="https://www.linkedin.com/learning/social-media-marketing-with-facebook-and-twitter-2"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https://www.linkedin.com/learning/components-of-effective-learning" TargetMode="External"/><Relationship Id="rId21" Type="http://schemas.openxmlformats.org/officeDocument/2006/relationships/hyperlink" Target="https://www.linkedin.com/learning/people-analytics/a-brief-history-of-people-analytics" TargetMode="External"/><Relationship Id="rId42" Type="http://schemas.openxmlformats.org/officeDocument/2006/relationships/hyperlink" Target="https://www.linkedin.com/learning/paths/become-a-data-visualization-specialist-tools?u=104" TargetMode="External"/><Relationship Id="rId63" Type="http://schemas.openxmlformats.org/officeDocument/2006/relationships/hyperlink" Target="https://www.linkedin.com/learning/learning-to-write-a-syllabus" TargetMode="External"/><Relationship Id="rId84" Type="http://schemas.openxmlformats.org/officeDocument/2006/relationships/hyperlink" Target="https://www.linkedin.com/learning/learning-impact-the-importance-of-storytelling" TargetMode="External"/><Relationship Id="rId138" Type="http://schemas.openxmlformats.org/officeDocument/2006/relationships/hyperlink" Target="https://www.linkedin.com/learning/design-thinking-implementing-the-process-revision-2021" TargetMode="External"/><Relationship Id="rId159" Type="http://schemas.openxmlformats.org/officeDocument/2006/relationships/hyperlink" Target="https://www.linkedin.com/learning/articulate-360-interactive-learning/welcome" TargetMode="External"/><Relationship Id="rId170" Type="http://schemas.openxmlformats.org/officeDocument/2006/relationships/hyperlink" Target="https://www.linkedin.com/learning/data-science-foundations-data-mining/welcome" TargetMode="External"/><Relationship Id="rId191" Type="http://schemas.openxmlformats.org/officeDocument/2006/relationships/hyperlink" Target="https://www.linkedin.com/learning/business-analytics-foundations-predictive-prescriptive-and-experimental-analytics" TargetMode="External"/><Relationship Id="rId205" Type="http://schemas.openxmlformats.org/officeDocument/2006/relationships/hyperlink" Target="https://www.linkedin.com/learning/excel-charts-in-depth" TargetMode="External"/><Relationship Id="rId226" Type="http://schemas.openxmlformats.org/officeDocument/2006/relationships/hyperlink" Target="https://www.linkedin.com/learning/converting-face-to-face-training-into-digital-learning" TargetMode="External"/><Relationship Id="rId247" Type="http://schemas.openxmlformats.org/officeDocument/2006/relationships/hyperlink" Target="https://www.linkedin.com/learning/the-data-science-of-experimental-design" TargetMode="External"/><Relationship Id="rId107" Type="http://schemas.openxmlformats.org/officeDocument/2006/relationships/hyperlink" Target="https://www.linkedin.com/learning/learning-excel-data-analysis-2" TargetMode="External"/><Relationship Id="rId11" Type="http://schemas.openxmlformats.org/officeDocument/2006/relationships/hyperlink" Target="https://www.linkedin.com/learning/applying-analytics-to-your-learning-program" TargetMode="External"/><Relationship Id="rId32" Type="http://schemas.openxmlformats.org/officeDocument/2006/relationships/hyperlink" Target="https://www.linkedin.com/learning/paths/become-a-data-scientist" TargetMode="External"/><Relationship Id="rId53" Type="http://schemas.openxmlformats.org/officeDocument/2006/relationships/hyperlink" Target="https://www.linkedin.com/learning/managing-customer-expectations-for-frontline-employees" TargetMode="External"/><Relationship Id="rId74" Type="http://schemas.openxmlformats.org/officeDocument/2006/relationships/hyperlink" Target="https://www.linkedin.com/learning/business-analysis-foundations-competencies" TargetMode="External"/><Relationship Id="rId128" Type="http://schemas.openxmlformats.org/officeDocument/2006/relationships/hyperlink" Target="https://www.linkedin.com/learning/introducing-ai-to-your-organization" TargetMode="External"/><Relationship Id="rId149" Type="http://schemas.openxmlformats.org/officeDocument/2006/relationships/hyperlink" Target="https://www.linkedin.com/learning/the-data-game-of-fantasy-football" TargetMode="External"/><Relationship Id="rId5" Type="http://schemas.openxmlformats.org/officeDocument/2006/relationships/hyperlink" Target="https://www.linkedin.com/learning/gamification-for-interactive-learning" TargetMode="External"/><Relationship Id="rId95" Type="http://schemas.openxmlformats.org/officeDocument/2006/relationships/hyperlink" Target="https://www.linkedin.com/learning/learning-data-analytics-2/welcome" TargetMode="External"/><Relationship Id="rId160" Type="http://schemas.openxmlformats.org/officeDocument/2006/relationships/hyperlink" Target="https://www.linkedin.com/learning/customer-service-preventing-turnover" TargetMode="External"/><Relationship Id="rId181" Type="http://schemas.openxmlformats.org/officeDocument/2006/relationships/hyperlink" Target="https://www.linkedin.com/learning/using-customer-surveys-to-improve-service" TargetMode="External"/><Relationship Id="rId216" Type="http://schemas.openxmlformats.org/officeDocument/2006/relationships/hyperlink" Target="https://www.linkedin.com/learning/elearning-tips" TargetMode="External"/><Relationship Id="rId237" Type="http://schemas.openxmlformats.org/officeDocument/2006/relationships/hyperlink" Target="https://www.linkedin.com/learning/python-for-data-visualization" TargetMode="External"/><Relationship Id="rId22" Type="http://schemas.openxmlformats.org/officeDocument/2006/relationships/hyperlink" Target="https://www.linkedin.com/learning/paths/become-a-data-analyst" TargetMode="External"/><Relationship Id="rId43" Type="http://schemas.openxmlformats.org/officeDocument/2006/relationships/hyperlink" Target="https://www.linkedin.com/learning/flipping-the-classroom" TargetMode="External"/><Relationship Id="rId64" Type="http://schemas.openxmlformats.org/officeDocument/2006/relationships/hyperlink" Target="https://www.linkedin.com/learning/writing-customer-service-emails" TargetMode="External"/><Relationship Id="rId118" Type="http://schemas.openxmlformats.org/officeDocument/2006/relationships/hyperlink" Target="https://www.linkedin.com/learning/customer-service-handling-abusive-customers" TargetMode="External"/><Relationship Id="rId139" Type="http://schemas.openxmlformats.org/officeDocument/2006/relationships/hyperlink" Target="https://www.linkedin.com/learning/building-customer-loyalty" TargetMode="External"/><Relationship Id="rId85" Type="http://schemas.openxmlformats.org/officeDocument/2006/relationships/hyperlink" Target="https://www.linkedin.com/learning/value-realization-best-practices-for-customer-success-management" TargetMode="External"/><Relationship Id="rId150" Type="http://schemas.openxmlformats.org/officeDocument/2006/relationships/hyperlink" Target="https://www.linkedin.com/learning/technology-ethics" TargetMode="External"/><Relationship Id="rId171" Type="http://schemas.openxmlformats.org/officeDocument/2006/relationships/hyperlink" Target="https://www.linkedin.com/learning/teaching-technical-skills-through-video" TargetMode="External"/><Relationship Id="rId192" Type="http://schemas.openxmlformats.org/officeDocument/2006/relationships/hyperlink" Target="https://www.linkedin.com/learning/teaching-complex-topics" TargetMode="External"/><Relationship Id="rId206" Type="http://schemas.openxmlformats.org/officeDocument/2006/relationships/hyperlink" Target="https://www.linkedin.com/learning/articulate-360-advanced-actions-2020" TargetMode="External"/><Relationship Id="rId227" Type="http://schemas.openxmlformats.org/officeDocument/2006/relationships/hyperlink" Target="https://www.linkedin.com/learning/statistics-foundations-3" TargetMode="External"/><Relationship Id="rId248" Type="http://schemas.openxmlformats.org/officeDocument/2006/relationships/hyperlink" Target="https://www.linkedin.com/learning/side-hustle-strategies-for-data-science-and-analytics-experts" TargetMode="External"/><Relationship Id="rId12" Type="http://schemas.openxmlformats.org/officeDocument/2006/relationships/hyperlink" Target="https://www.linkedin.com/learning/paths/become-a-user-experience-designer" TargetMode="External"/><Relationship Id="rId33" Type="http://schemas.openxmlformats.org/officeDocument/2006/relationships/hyperlink" Target="https://www.linkedin.com/learning/corporate-instruction-foundations" TargetMode="External"/><Relationship Id="rId108" Type="http://schemas.openxmlformats.org/officeDocument/2006/relationships/hyperlink" Target="https://www.linkedin.com/learning/how-to-turn-your-entrepreneur-journey-into-a-successful-keynote-talk" TargetMode="External"/><Relationship Id="rId129" Type="http://schemas.openxmlformats.org/officeDocument/2006/relationships/hyperlink" Target="https://www.linkedin.com/learning/instructional-design-storyboarding" TargetMode="External"/><Relationship Id="rId54" Type="http://schemas.openxmlformats.org/officeDocument/2006/relationships/hyperlink" Target="https://www.linkedin.com/learning/power-bi-dashboards-for-beginners" TargetMode="External"/><Relationship Id="rId75" Type="http://schemas.openxmlformats.org/officeDocument/2006/relationships/hyperlink" Target="https://www.linkedin.com/learning/foundations-of-corporate-training/introducing-a-culture-of-learning" TargetMode="External"/><Relationship Id="rId96" Type="http://schemas.openxmlformats.org/officeDocument/2006/relationships/hyperlink" Target="https://www.linkedin.com/learning/using-humor-in-training-to-engage-your-audience" TargetMode="External"/><Relationship Id="rId140" Type="http://schemas.openxmlformats.org/officeDocument/2006/relationships/hyperlink" Target="https://www.linkedin.com/learning/tableau-essential-training-2020-1-revision" TargetMode="External"/><Relationship Id="rId161" Type="http://schemas.openxmlformats.org/officeDocument/2006/relationships/hyperlink" Target="https://www.linkedin.com/learning/cloud-hadoop-scaling-apache-spark" TargetMode="External"/><Relationship Id="rId182" Type="http://schemas.openxmlformats.org/officeDocument/2006/relationships/hyperlink" Target="https://www.linkedin.com/learning/how-to-perform-business-analysis-in-a-virtual-environment" TargetMode="External"/><Relationship Id="rId217" Type="http://schemas.openxmlformats.org/officeDocument/2006/relationships/hyperlink" Target="https://www.linkedin.com/learning/excel-supply-chain-analysis-solving-transportation-problems" TargetMode="External"/><Relationship Id="rId6" Type="http://schemas.openxmlformats.org/officeDocument/2006/relationships/hyperlink" Target="https://www.linkedin.com/learning/paths/develop-your-course-design-and-instructional-skills" TargetMode="External"/><Relationship Id="rId238" Type="http://schemas.openxmlformats.org/officeDocument/2006/relationships/hyperlink" Target="https://www.linkedin.com/learning/sql-data-reporting-and-analysis-2020-revision" TargetMode="External"/><Relationship Id="rId23" Type="http://schemas.openxmlformats.org/officeDocument/2006/relationships/hyperlink" Target="https://www.linkedin.com/learning/using-neuroscience-for-more-effective-l-d" TargetMode="External"/><Relationship Id="rId119" Type="http://schemas.openxmlformats.org/officeDocument/2006/relationships/hyperlink" Target="https://www.linkedin.com/learning/sql-for-exploratory-data-analysis-essential-training" TargetMode="External"/><Relationship Id="rId44" Type="http://schemas.openxmlformats.org/officeDocument/2006/relationships/hyperlink" Target="https://www.linkedin.com/learning/paths/visual-communication-for-business-professionals" TargetMode="External"/><Relationship Id="rId65" Type="http://schemas.openxmlformats.org/officeDocument/2006/relationships/hyperlink" Target="https://www.linkedin.com/learning/the-data-science-of-government-and-political-science-with-barton-poulson" TargetMode="External"/><Relationship Id="rId86" Type="http://schemas.openxmlformats.org/officeDocument/2006/relationships/hyperlink" Target="https://www.linkedin.com/learning/database-foundations-creating-and-manipulating-data" TargetMode="External"/><Relationship Id="rId130" Type="http://schemas.openxmlformats.org/officeDocument/2006/relationships/hyperlink" Target="https://www.linkedin.com/learning/developing-a-service-mindset" TargetMode="External"/><Relationship Id="rId151" Type="http://schemas.openxmlformats.org/officeDocument/2006/relationships/hyperlink" Target="https://www.linkedin.com/learning/customer-experience-journey-mapping/empathy-and-emotion" TargetMode="External"/><Relationship Id="rId172" Type="http://schemas.openxmlformats.org/officeDocument/2006/relationships/hyperlink" Target="https://www.linkedin.com/learning/managing-customer-expectations-for-managers" TargetMode="External"/><Relationship Id="rId193" Type="http://schemas.openxmlformats.org/officeDocument/2006/relationships/hyperlink" Target="https://www.linkedin.com/learning/customer-service-serving-customers-through-chat-and-text" TargetMode="External"/><Relationship Id="rId207" Type="http://schemas.openxmlformats.org/officeDocument/2006/relationships/hyperlink" Target="https://www.linkedin.com/learning/financial-analysis-analyzing-the-bottom-line-with-excel" TargetMode="External"/><Relationship Id="rId228" Type="http://schemas.openxmlformats.org/officeDocument/2006/relationships/hyperlink" Target="https://www.linkedin.com/learning/articulate-storyline-quick-tips" TargetMode="External"/><Relationship Id="rId249" Type="http://schemas.openxmlformats.org/officeDocument/2006/relationships/hyperlink" Target="https://www.linkedin.com/learning/postgresql-essential-training" TargetMode="External"/><Relationship Id="rId13" Type="http://schemas.openxmlformats.org/officeDocument/2006/relationships/hyperlink" Target="https://www.linkedin.com/learning/winning-back-a-lost-customer-2019" TargetMode="External"/><Relationship Id="rId109" Type="http://schemas.openxmlformats.org/officeDocument/2006/relationships/hyperlink" Target="https://www.linkedin.com/learning/empathy-in-ux-design" TargetMode="External"/><Relationship Id="rId34" Type="http://schemas.openxmlformats.org/officeDocument/2006/relationships/hyperlink" Target="https://www.linkedin.com/learning/paths/become-an-online-instructor" TargetMode="External"/><Relationship Id="rId55" Type="http://schemas.openxmlformats.org/officeDocument/2006/relationships/hyperlink" Target="https://www.linkedin.com/learning/paths/master-excel-for-data-science" TargetMode="External"/><Relationship Id="rId76" Type="http://schemas.openxmlformats.org/officeDocument/2006/relationships/hyperlink" Target="https://www.linkedin.com/learning/empathy-for-customer-service-professionals" TargetMode="External"/><Relationship Id="rId97" Type="http://schemas.openxmlformats.org/officeDocument/2006/relationships/hyperlink" Target="https://www.linkedin.com/learning/engagement-evaluation-best-practices-for-customer-success-management" TargetMode="External"/><Relationship Id="rId120" Type="http://schemas.openxmlformats.org/officeDocument/2006/relationships/hyperlink" Target="https://www.linkedin.com/learning/cert-prep-adobe-certified-associate-indesign-revision" TargetMode="External"/><Relationship Id="rId141" Type="http://schemas.openxmlformats.org/officeDocument/2006/relationships/hyperlink" Target="https://www.linkedin.com/learning/design-thinking-at-work-getabstract-summary" TargetMode="External"/><Relationship Id="rId7" Type="http://schemas.openxmlformats.org/officeDocument/2006/relationships/hyperlink" Target="https://www.linkedin.com/learning/calculating-the-value-and-roi-of-customer-service" TargetMode="External"/><Relationship Id="rId162" Type="http://schemas.openxmlformats.org/officeDocument/2006/relationships/hyperlink" Target="https://www.linkedin.com/learning/brain-based-elearning-design" TargetMode="External"/><Relationship Id="rId183" Type="http://schemas.openxmlformats.org/officeDocument/2006/relationships/hyperlink" Target="https://www.linkedin.com/learning/teaching-techniques-creating-multimedia-learning" TargetMode="External"/><Relationship Id="rId218" Type="http://schemas.openxmlformats.org/officeDocument/2006/relationships/hyperlink" Target="https://www.linkedin.com/learning/success-metrics-in-your-l-d-program" TargetMode="External"/><Relationship Id="rId239" Type="http://schemas.openxmlformats.org/officeDocument/2006/relationships/hyperlink" Target="https://www.linkedin.com/learning/power-bi-dataflows-essential-training" TargetMode="External"/><Relationship Id="rId250" Type="http://schemas.openxmlformats.org/officeDocument/2006/relationships/hyperlink" Target="https://www.linkedin.com/learning/data-visualization-for-data-analysis-and-analytics" TargetMode="External"/><Relationship Id="rId24" Type="http://schemas.openxmlformats.org/officeDocument/2006/relationships/hyperlink" Target="https://www.linkedin.com/learning/paths/become-an-instructional-developer" TargetMode="External"/><Relationship Id="rId45" Type="http://schemas.openxmlformats.org/officeDocument/2006/relationships/hyperlink" Target="https://www.linkedin.com/learning/it-service-desk-customer-service-fundamentals" TargetMode="External"/><Relationship Id="rId66" Type="http://schemas.openxmlformats.org/officeDocument/2006/relationships/hyperlink" Target="https://www.linkedin.com/learning/teaching-with-linkedin-learning" TargetMode="External"/><Relationship Id="rId87" Type="http://schemas.openxmlformats.org/officeDocument/2006/relationships/hyperlink" Target="https://www.linkedin.com/learning/creating-fun-and-engaging-video-training-the-how" TargetMode="External"/><Relationship Id="rId110" Type="http://schemas.openxmlformats.org/officeDocument/2006/relationships/hyperlink" Target="https://www.linkedin.com/learning/learning-information-governance" TargetMode="External"/><Relationship Id="rId131" Type="http://schemas.openxmlformats.org/officeDocument/2006/relationships/hyperlink" Target="https://www.linkedin.com/learning/sas-9-4-cert-prep-analyzing-and-reporting-on-data" TargetMode="External"/><Relationship Id="rId152" Type="http://schemas.openxmlformats.org/officeDocument/2006/relationships/hyperlink" Target="https://www.linkedin.com/learning/learning-public-data-sets-2019-revision" TargetMode="External"/><Relationship Id="rId173" Type="http://schemas.openxmlformats.org/officeDocument/2006/relationships/hyperlink" Target="https://www.linkedin.com/learning/excel-statistics-essential-training-2" TargetMode="External"/><Relationship Id="rId194" Type="http://schemas.openxmlformats.org/officeDocument/2006/relationships/hyperlink" Target="https://www.linkedin.com/learning/data-visualization-tips-and-tricks" TargetMode="External"/><Relationship Id="rId208" Type="http://schemas.openxmlformats.org/officeDocument/2006/relationships/hyperlink" Target="https://www.linkedin.com/learning/teaching-techniques-making-accessible-learning" TargetMode="External"/><Relationship Id="rId229" Type="http://schemas.openxmlformats.org/officeDocument/2006/relationships/hyperlink" Target="https://www.linkedin.com/learning/storytelling-with-data" TargetMode="External"/><Relationship Id="rId240" Type="http://schemas.openxmlformats.org/officeDocument/2006/relationships/hyperlink" Target="https://www.linkedin.com/learning/sap-erp-beyond-the-basics" TargetMode="External"/><Relationship Id="rId14" Type="http://schemas.openxmlformats.org/officeDocument/2006/relationships/hyperlink" Target="https://www.linkedin.com/learning/paths/become-a-customer-support-specialist" TargetMode="External"/><Relationship Id="rId35" Type="http://schemas.openxmlformats.org/officeDocument/2006/relationships/hyperlink" Target="https://www.linkedin.com/learning/customer-service-writing-for-social-media" TargetMode="External"/><Relationship Id="rId56" Type="http://schemas.openxmlformats.org/officeDocument/2006/relationships/hyperlink" Target="https://www.linkedin.com/learning/teaching-with-technology" TargetMode="External"/><Relationship Id="rId77" Type="http://schemas.openxmlformats.org/officeDocument/2006/relationships/hyperlink" Target="https://www.linkedin.com/learning/business-analysis-business-benefits-realization" TargetMode="External"/><Relationship Id="rId100" Type="http://schemas.openxmlformats.org/officeDocument/2006/relationships/hyperlink" Target="https://www.linkedin.com/learning/business-fundamentals-for-customer-success-managers" TargetMode="External"/><Relationship Id="rId8" Type="http://schemas.openxmlformats.org/officeDocument/2006/relationships/hyperlink" Target="https://www.linkedin.com/learning/paths/become-a-customer-service-specialist" TargetMode="External"/><Relationship Id="rId98" Type="http://schemas.openxmlformats.org/officeDocument/2006/relationships/hyperlink" Target="https://www.linkedin.com/learning/learning-data-science-tell-stories-with-data/define-a-story" TargetMode="External"/><Relationship Id="rId121" Type="http://schemas.openxmlformats.org/officeDocument/2006/relationships/hyperlink" Target="https://www.linkedin.com/learning/customer-service-managing-customer-feedback" TargetMode="External"/><Relationship Id="rId142" Type="http://schemas.openxmlformats.org/officeDocument/2006/relationships/hyperlink" Target="https://www.linkedin.com/learning/creating-a-positive-customer-experience" TargetMode="External"/><Relationship Id="rId163" Type="http://schemas.openxmlformats.org/officeDocument/2006/relationships/hyperlink" Target="https://www.linkedin.com/learning/innovative-customer-service-techniques" TargetMode="External"/><Relationship Id="rId184" Type="http://schemas.openxmlformats.org/officeDocument/2006/relationships/hyperlink" Target="https://www.linkedin.com/learning/working-with-upset-customers" TargetMode="External"/><Relationship Id="rId219" Type="http://schemas.openxmlformats.org/officeDocument/2006/relationships/hyperlink" Target="https://www.linkedin.com/learning/financial-analysis-analyzing-the-top-line-with-excel" TargetMode="External"/><Relationship Id="rId230" Type="http://schemas.openxmlformats.org/officeDocument/2006/relationships/hyperlink" Target="https://www.linkedin.com/learning/20-questions-to-improve-learning-at-your-organization" TargetMode="External"/><Relationship Id="rId25" Type="http://schemas.openxmlformats.org/officeDocument/2006/relationships/hyperlink" Target="https://www.linkedin.com/learning/building-rapport-with-customers" TargetMode="External"/><Relationship Id="rId46" Type="http://schemas.openxmlformats.org/officeDocument/2006/relationships/hyperlink" Target="https://www.linkedin.com/learning/linkedin-learning-highlights-data-science-and-analytics" TargetMode="External"/><Relationship Id="rId67" Type="http://schemas.openxmlformats.org/officeDocument/2006/relationships/hyperlink" Target="https://www.linkedin.com/learning/selling-strategies-that-boost-customer-acquisition" TargetMode="External"/><Relationship Id="rId88" Type="http://schemas.openxmlformats.org/officeDocument/2006/relationships/hyperlink" Target="https://www.linkedin.com/learning/avoiding-common-pitfalls-in-customer-success-management" TargetMode="External"/><Relationship Id="rId111" Type="http://schemas.openxmlformats.org/officeDocument/2006/relationships/hyperlink" Target="https://www.linkedin.com/learning/empathy-in-business-design-for-success,https:/www.linkedin.com/learning/empathy-in-design" TargetMode="External"/><Relationship Id="rId132" Type="http://schemas.openxmlformats.org/officeDocument/2006/relationships/hyperlink" Target="https://www.linkedin.com/learning/blackboard-essential-training" TargetMode="External"/><Relationship Id="rId153" Type="http://schemas.openxmlformats.org/officeDocument/2006/relationships/hyperlink" Target="https://www.linkedin.com/learning/running-a-design-business-writing-and-pricing-winning-proposals" TargetMode="External"/><Relationship Id="rId174" Type="http://schemas.openxmlformats.org/officeDocument/2006/relationships/hyperlink" Target="https://www.linkedin.com/learning/teaching-techniques-data-driven-instruction" TargetMode="External"/><Relationship Id="rId195" Type="http://schemas.openxmlformats.org/officeDocument/2006/relationships/hyperlink" Target="https://www.linkedin.com/learning/teaching-online-synchronous-classes" TargetMode="External"/><Relationship Id="rId209" Type="http://schemas.openxmlformats.org/officeDocument/2006/relationships/hyperlink" Target="https://www.linkedin.com/learning/15-mistakes-to-avoid-in-data-science" TargetMode="External"/><Relationship Id="rId220" Type="http://schemas.openxmlformats.org/officeDocument/2006/relationships/hyperlink" Target="https://www.linkedin.com/learning/interaction-design-interface" TargetMode="External"/><Relationship Id="rId241" Type="http://schemas.openxmlformats.org/officeDocument/2006/relationships/hyperlink" Target="https://www.linkedin.com/learning/tableau-and-r-for-analytics-projects" TargetMode="External"/><Relationship Id="rId15" Type="http://schemas.openxmlformats.org/officeDocument/2006/relationships/hyperlink" Target="https://www.linkedin.com/learning/machine-learning-ai-advanced-decision-trees" TargetMode="External"/><Relationship Id="rId36" Type="http://schemas.openxmlformats.org/officeDocument/2006/relationships/hyperlink" Target="https://www.linkedin.com/learning/excel-vba-managing-files-and-data-revision" TargetMode="External"/><Relationship Id="rId57" Type="http://schemas.openxmlformats.org/officeDocument/2006/relationships/hyperlink" Target="https://www.linkedin.com/learning/quick-fixes-for-poor-customer-service" TargetMode="External"/><Relationship Id="rId78" Type="http://schemas.openxmlformats.org/officeDocument/2006/relationships/hyperlink" Target="https://www.linkedin.com/learning/graphic-design-careers-first-steps-revision" TargetMode="External"/><Relationship Id="rId99" Type="http://schemas.openxmlformats.org/officeDocument/2006/relationships/hyperlink" Target="https://www.linkedin.com/learning/articulate-storyline-essential-training-2020" TargetMode="External"/><Relationship Id="rId101" Type="http://schemas.openxmlformats.org/officeDocument/2006/relationships/hyperlink" Target="https://www.linkedin.com/learning/learning-data-science-understanding-the-basics/welcome" TargetMode="External"/><Relationship Id="rId122" Type="http://schemas.openxmlformats.org/officeDocument/2006/relationships/hyperlink" Target="https://www.linkedin.com/learning/statistics-foundations-1" TargetMode="External"/><Relationship Id="rId143" Type="http://schemas.openxmlformats.org/officeDocument/2006/relationships/hyperlink" Target="https://www.linkedin.com/learning/business-analytics-marketing-data" TargetMode="External"/><Relationship Id="rId164" Type="http://schemas.openxmlformats.org/officeDocument/2006/relationships/hyperlink" Target="https://www.linkedin.com/learning/the-non-technical-skills-of-effective-data-scientists" TargetMode="External"/><Relationship Id="rId185" Type="http://schemas.openxmlformats.org/officeDocument/2006/relationships/hyperlink" Target="https://www.linkedin.com/learning/analyzing-big-data-with-hive" TargetMode="External"/><Relationship Id="rId4" Type="http://schemas.openxmlformats.org/officeDocument/2006/relationships/hyperlink" Target="https://www.linkedin.com/learning/paths/advance-your-skills-in-predictive-analytics" TargetMode="External"/><Relationship Id="rId9" Type="http://schemas.openxmlformats.org/officeDocument/2006/relationships/hyperlink" Target="https://www.linkedin.com/learning/cert-prep-excel-expert-microsoft-office-specialist-for-office-2019-and-office-365/prove-your-excel-skills-as-a-mos-expert" TargetMode="External"/><Relationship Id="rId180" Type="http://schemas.openxmlformats.org/officeDocument/2006/relationships/hyperlink" Target="https://www.linkedin.com/learning/teaching-techniques-project-based-learning" TargetMode="External"/><Relationship Id="rId210" Type="http://schemas.openxmlformats.org/officeDocument/2006/relationships/hyperlink" Target="https://www.linkedin.com/learning/teacher-tech-tips" TargetMode="External"/><Relationship Id="rId215" Type="http://schemas.openxmlformats.org/officeDocument/2006/relationships/hyperlink" Target="https://www.linkedin.com/learning/data-visualization-storytelling,https:/www.linkedin.com/learning/data-visualization-storytelling-3,https:/www.linkedin.com/learning/data-visualization-storytelling-revision" TargetMode="External"/><Relationship Id="rId236" Type="http://schemas.openxmlformats.org/officeDocument/2006/relationships/hyperlink" Target="https://www.linkedin.com/learning/using-python-with-excel" TargetMode="External"/><Relationship Id="rId26" Type="http://schemas.openxmlformats.org/officeDocument/2006/relationships/hyperlink" Target="https://www.linkedin.com/learning/apache-flink-exploratory-data-analytics-with-sql" TargetMode="External"/><Relationship Id="rId231" Type="http://schemas.openxmlformats.org/officeDocument/2006/relationships/hyperlink" Target="https://www.linkedin.com/learning/power-bi-data-modeling-with-dax" TargetMode="External"/><Relationship Id="rId47" Type="http://schemas.openxmlformats.org/officeDocument/2006/relationships/hyperlink" Target="https://www.linkedin.com/learning/paths/develop-your-data-analysis-skills" TargetMode="External"/><Relationship Id="rId68" Type="http://schemas.openxmlformats.org/officeDocument/2006/relationships/hyperlink" Target="https://www.linkedin.com/learning/the-data-science-of-retail-sales-and-commerce" TargetMode="External"/><Relationship Id="rId89" Type="http://schemas.openxmlformats.org/officeDocument/2006/relationships/hyperlink" Target="https://www.linkedin.com/learning/excel-statistics-essential-training-1" TargetMode="External"/><Relationship Id="rId112" Type="http://schemas.openxmlformats.org/officeDocument/2006/relationships/hyperlink" Target="https://www.linkedin.com/learning/customer-retention" TargetMode="External"/><Relationship Id="rId133" Type="http://schemas.openxmlformats.org/officeDocument/2006/relationships/hyperlink" Target="https://www.linkedin.com/learning/data-driven-harnessing-data-and-ai-to-reinvent-customer-engagement-getabstract-summary" TargetMode="External"/><Relationship Id="rId154" Type="http://schemas.openxmlformats.org/officeDocument/2006/relationships/hyperlink" Target="https://www.linkedin.com/learning/customer-service-blueprinting" TargetMode="External"/><Relationship Id="rId175" Type="http://schemas.openxmlformats.org/officeDocument/2006/relationships/hyperlink" Target="https://www.linkedin.com/learning/service-innovation" TargetMode="External"/><Relationship Id="rId196" Type="http://schemas.openxmlformats.org/officeDocument/2006/relationships/hyperlink" Target="https://www.linkedin.com/learning/making-business-videos-for-customers" TargetMode="External"/><Relationship Id="rId200" Type="http://schemas.openxmlformats.org/officeDocument/2006/relationships/hyperlink" Target="https://www.linkedin.com/learning/excel-2016-managing-and-analyzing-data" TargetMode="External"/><Relationship Id="rId16" Type="http://schemas.openxmlformats.org/officeDocument/2006/relationships/hyperlink" Target="https://www.linkedin.com/learning/paths/become-a-business-analytics-expert?u=104" TargetMode="External"/><Relationship Id="rId221" Type="http://schemas.openxmlformats.org/officeDocument/2006/relationships/hyperlink" Target="https://www.linkedin.com/learning/financial-analysis-making-business-projections" TargetMode="External"/><Relationship Id="rId242" Type="http://schemas.openxmlformats.org/officeDocument/2006/relationships/hyperlink" Target="https://www.linkedin.com/learning/abap-for-sap-users" TargetMode="External"/><Relationship Id="rId37" Type="http://schemas.openxmlformats.org/officeDocument/2006/relationships/hyperlink" Target="https://www.linkedin.com/learning/paths/become-a-data-visualization-specialist-concepts?u=104" TargetMode="External"/><Relationship Id="rId58" Type="http://schemas.openxmlformats.org/officeDocument/2006/relationships/hyperlink" Target="https://www.linkedin.com/learning/15-tips-for-landing-a-data-science-job" TargetMode="External"/><Relationship Id="rId79" Type="http://schemas.openxmlformats.org/officeDocument/2006/relationships/hyperlink" Target="https://www.linkedin.com/learning/marketing-foundations-consumer-behavior-revision-2020" TargetMode="External"/><Relationship Id="rId102" Type="http://schemas.openxmlformats.org/officeDocument/2006/relationships/hyperlink" Target="https://www.linkedin.com/learning/learning-to-teach-online-2019" TargetMode="External"/><Relationship Id="rId123" Type="http://schemas.openxmlformats.org/officeDocument/2006/relationships/hyperlink" Target="https://www.linkedin.com/learning/graphic-design-foundations-ideas-concepts-and-form" TargetMode="External"/><Relationship Id="rId144" Type="http://schemas.openxmlformats.org/officeDocument/2006/relationships/hyperlink" Target="https://www.linkedin.com/learning/storytraining-selecting-and-shaping-stories-that-connect-getabstract-summary" TargetMode="External"/><Relationship Id="rId90" Type="http://schemas.openxmlformats.org/officeDocument/2006/relationships/hyperlink" Target="https://www.linkedin.com/learning/creating-fun-and-engaging-video-training-the-why" TargetMode="External"/><Relationship Id="rId165" Type="http://schemas.openxmlformats.org/officeDocument/2006/relationships/hyperlink" Target="https://www.linkedin.com/learning/gaining-internal-buy-in-for-elearning-training" TargetMode="External"/><Relationship Id="rId186" Type="http://schemas.openxmlformats.org/officeDocument/2006/relationships/hyperlink" Target="https://www.linkedin.com/learning/teaching-techniques-classroom-management" TargetMode="External"/><Relationship Id="rId211" Type="http://schemas.openxmlformats.org/officeDocument/2006/relationships/hyperlink" Target="https://www.linkedin.com/learning/ux-deep-dive-analyzing-data" TargetMode="External"/><Relationship Id="rId232" Type="http://schemas.openxmlformats.org/officeDocument/2006/relationships/hyperlink" Target="https://www.linkedin.com/learning/big-data-analytics-with-hadoop-and-apache-spark" TargetMode="External"/><Relationship Id="rId27" Type="http://schemas.openxmlformats.org/officeDocument/2006/relationships/hyperlink" Target="https://www.linkedin.com/learning/paths/become-a-data-analytics-specialist" TargetMode="External"/><Relationship Id="rId48" Type="http://schemas.openxmlformats.org/officeDocument/2006/relationships/hyperlink" Target="https://www.linkedin.com/learning/learning-articulate-rise-2019" TargetMode="External"/><Relationship Id="rId69" Type="http://schemas.openxmlformats.org/officeDocument/2006/relationships/hyperlink" Target="https://www.linkedin.com/learning/educational-technology-for-student-success" TargetMode="External"/><Relationship Id="rId113" Type="http://schemas.openxmlformats.org/officeDocument/2006/relationships/hyperlink" Target="https://www.linkedin.com/learning/learning-relational-databases-2" TargetMode="External"/><Relationship Id="rId134" Type="http://schemas.openxmlformats.org/officeDocument/2006/relationships/hyperlink" Target="https://www.linkedin.com/learning/introduction-to-business-analytics" TargetMode="External"/><Relationship Id="rId80" Type="http://schemas.openxmlformats.org/officeDocument/2006/relationships/hyperlink" Target="https://www.linkedin.com/learning/data-fluency-exploring-and-describing-data" TargetMode="External"/><Relationship Id="rId155" Type="http://schemas.openxmlformats.org/officeDocument/2006/relationships/hyperlink" Target="https://www.linkedin.com/learning/spss-statistics-essential-training-2020-revision" TargetMode="External"/><Relationship Id="rId176" Type="http://schemas.openxmlformats.org/officeDocument/2006/relationships/hyperlink" Target="https://www.linkedin.com/learning/statistics-foundations-2" TargetMode="External"/><Relationship Id="rId197" Type="http://schemas.openxmlformats.org/officeDocument/2006/relationships/hyperlink" Target="https://www.linkedin.com/learning/design-thinking-data-intelligence" TargetMode="External"/><Relationship Id="rId201" Type="http://schemas.openxmlformats.org/officeDocument/2006/relationships/hyperlink" Target="https://www.linkedin.com/learning/getting-executive-buy-in-and-support-for-your-l-d-program,https:/www.linkedin.com/learning/the-future-of-workplace-learning" TargetMode="External"/><Relationship Id="rId222" Type="http://schemas.openxmlformats.org/officeDocument/2006/relationships/hyperlink" Target="https://www.linkedin.com/learning/applied-interaction-design-managing-comments" TargetMode="External"/><Relationship Id="rId243" Type="http://schemas.openxmlformats.org/officeDocument/2006/relationships/hyperlink" Target="https://www.linkedin.com/learning/review-and-manage-the-sap-mrp-list" TargetMode="External"/><Relationship Id="rId17" Type="http://schemas.openxmlformats.org/officeDocument/2006/relationships/hyperlink" Target="https://www.linkedin.com/learning/leveraging-neuroscience-in-the-workplace/leveraging-your-brain-to-increase-strategic-speed" TargetMode="External"/><Relationship Id="rId38" Type="http://schemas.openxmlformats.org/officeDocument/2006/relationships/hyperlink" Target="https://www.linkedin.com/learning/learning-management-systems-lms-quick-start" TargetMode="External"/><Relationship Id="rId59" Type="http://schemas.openxmlformats.org/officeDocument/2006/relationships/hyperlink" Target="https://www.linkedin.com/learning/paths/master-python-for-data-science" TargetMode="External"/><Relationship Id="rId103" Type="http://schemas.openxmlformats.org/officeDocument/2006/relationships/hyperlink" Target="https://www.linkedin.com/learning/customer-service-and-support-during-economic-downturns" TargetMode="External"/><Relationship Id="rId124" Type="http://schemas.openxmlformats.org/officeDocument/2006/relationships/hyperlink" Target="https://www.linkedin.com/learning/customer-service-problem-solving-and-troubleshooting" TargetMode="External"/><Relationship Id="rId70" Type="http://schemas.openxmlformats.org/officeDocument/2006/relationships/hyperlink" Target="https://www.linkedin.com/learning/using-thought-leadership-for-customer-acquisition" TargetMode="External"/><Relationship Id="rId91" Type="http://schemas.openxmlformats.org/officeDocument/2006/relationships/hyperlink" Target="https://www.linkedin.com/learning/onboarding-and-adoption-best-practices-for-customer-success-management" TargetMode="External"/><Relationship Id="rId145" Type="http://schemas.openxmlformats.org/officeDocument/2006/relationships/hyperlink" Target="https://www.linkedin.com/learning/creating-positive-conversations-with-challenging-customers" TargetMode="External"/><Relationship Id="rId166" Type="http://schemas.openxmlformats.org/officeDocument/2006/relationships/hyperlink" Target="https://www.linkedin.com/learning/leading-a-customer-centric-culture-2" TargetMode="External"/><Relationship Id="rId187" Type="http://schemas.openxmlformats.org/officeDocument/2006/relationships/hyperlink" Target="https://www.linkedin.com/learning/aligning-customer-experience-with-company-culture" TargetMode="External"/><Relationship Id="rId1" Type="http://schemas.openxmlformats.org/officeDocument/2006/relationships/hyperlink" Target="https://www.linkedin.com/learning/customer-service-leadership" TargetMode="External"/><Relationship Id="rId212" Type="http://schemas.openxmlformats.org/officeDocument/2006/relationships/hyperlink" Target="https://www.linkedin.com/learning/camtasia-2019-essential-training-advanced-techniques" TargetMode="External"/><Relationship Id="rId233" Type="http://schemas.openxmlformats.org/officeDocument/2006/relationships/hyperlink" Target="https://www.linkedin.com/learning/text-analytics-and-predictions-with-r-essential-training" TargetMode="External"/><Relationship Id="rId28" Type="http://schemas.openxmlformats.org/officeDocument/2006/relationships/hyperlink" Target="https://www.linkedin.com/learning/data-driven-learning-design" TargetMode="External"/><Relationship Id="rId49" Type="http://schemas.openxmlformats.org/officeDocument/2006/relationships/hyperlink" Target="https://www.linkedin.com/learning/listening-to-customers" TargetMode="External"/><Relationship Id="rId114" Type="http://schemas.openxmlformats.org/officeDocument/2006/relationships/hyperlink" Target="https://www.linkedin.com/learning/pivoting-to-virtual-events" TargetMode="External"/><Relationship Id="rId60" Type="http://schemas.openxmlformats.org/officeDocument/2006/relationships/hyperlink" Target="https://www.linkedin.com/learning/core-strategies-for-teaching-in-higher-ed" TargetMode="External"/><Relationship Id="rId81" Type="http://schemas.openxmlformats.org/officeDocument/2006/relationships/hyperlink" Target="https://www.linkedin.com/learning/building-a-creative-online-community" TargetMode="External"/><Relationship Id="rId135" Type="http://schemas.openxmlformats.org/officeDocument/2006/relationships/hyperlink" Target="https://www.linkedin.com/learning/learning-how-to-increase-learner-engagement" TargetMode="External"/><Relationship Id="rId156" Type="http://schemas.openxmlformats.org/officeDocument/2006/relationships/hyperlink" Target="https://www.linkedin.com/learning/design-thinking-understanding-the-process-revision-2021" TargetMode="External"/><Relationship Id="rId177" Type="http://schemas.openxmlformats.org/officeDocument/2006/relationships/hyperlink" Target="https://www.linkedin.com/learning/teacher-tips" TargetMode="External"/><Relationship Id="rId198" Type="http://schemas.openxmlformats.org/officeDocument/2006/relationships/hyperlink" Target="https://www.linkedin.com/learning/teaching-techniques-creating-effective-learning-assessments" TargetMode="External"/><Relationship Id="rId202" Type="http://schemas.openxmlformats.org/officeDocument/2006/relationships/hyperlink" Target="https://www.linkedin.com/learning/leading-a-customer-service-team" TargetMode="External"/><Relationship Id="rId223" Type="http://schemas.openxmlformats.org/officeDocument/2006/relationships/hyperlink" Target="https://www.linkedin.com/learning/meta-analysis-for-data-science-and-business-analytics" TargetMode="External"/><Relationship Id="rId244" Type="http://schemas.openxmlformats.org/officeDocument/2006/relationships/hyperlink" Target="https://www.linkedin.com/learning/ai-in-business-essential-training" TargetMode="External"/><Relationship Id="rId18" Type="http://schemas.openxmlformats.org/officeDocument/2006/relationships/hyperlink" Target="https://www.linkedin.com/learning/paths/become-an-instructional-designer" TargetMode="External"/><Relationship Id="rId39" Type="http://schemas.openxmlformats.org/officeDocument/2006/relationships/hyperlink" Target="https://www.linkedin.com/learning/paths/stay-competitive-using-design-thinking" TargetMode="External"/><Relationship Id="rId50" Type="http://schemas.openxmlformats.org/officeDocument/2006/relationships/hyperlink" Target="https://www.linkedin.com/learning/tech-ethics-avoiding-unintended-consequences" TargetMode="External"/><Relationship Id="rId104" Type="http://schemas.openxmlformats.org/officeDocument/2006/relationships/hyperlink" Target="https://www.linkedin.com/learning/learning-data-visualization-3" TargetMode="External"/><Relationship Id="rId125" Type="http://schemas.openxmlformats.org/officeDocument/2006/relationships/hyperlink" Target="https://www.linkedin.com/learning/studying-for-the-certified-business-analysis-professional-cbap" TargetMode="External"/><Relationship Id="rId146" Type="http://schemas.openxmlformats.org/officeDocument/2006/relationships/hyperlink" Target="https://www.linkedin.com/learning/business-analytics-sales-data" TargetMode="External"/><Relationship Id="rId167" Type="http://schemas.openxmlformats.org/officeDocument/2006/relationships/hyperlink" Target="https://www.linkedin.com/learning/data-science-foundations-data-engineering" TargetMode="External"/><Relationship Id="rId188" Type="http://schemas.openxmlformats.org/officeDocument/2006/relationships/hyperlink" Target="https://www.linkedin.com/learning/478e9692-d13d-338f-907e-d76f0724d773" TargetMode="External"/><Relationship Id="rId71" Type="http://schemas.openxmlformats.org/officeDocument/2006/relationships/hyperlink" Target="https://www.linkedin.com/learning/business-analysis-foundations-business-process-modeling" TargetMode="External"/><Relationship Id="rId92" Type="http://schemas.openxmlformats.org/officeDocument/2006/relationships/hyperlink" Target="https://www.linkedin.com/learning/excel-statistics-essential-training-1" TargetMode="External"/><Relationship Id="rId213" Type="http://schemas.openxmlformats.org/officeDocument/2006/relationships/hyperlink" Target="https://www.linkedin.com/learning/lessons-from-data-scientists" TargetMode="External"/><Relationship Id="rId234" Type="http://schemas.openxmlformats.org/officeDocument/2006/relationships/hyperlink" Target="https://www.linkedin.com/learning/data-dashboards-in-power-bi" TargetMode="External"/><Relationship Id="rId2" Type="http://schemas.openxmlformats.org/officeDocument/2006/relationships/hyperlink" Target="https://www.linkedin.com/learning/paths/become-a-customer-service-manager" TargetMode="External"/><Relationship Id="rId29" Type="http://schemas.openxmlformats.org/officeDocument/2006/relationships/hyperlink" Target="https://www.linkedin.com/learning/paths/become-an-ld-professional" TargetMode="External"/><Relationship Id="rId40" Type="http://schemas.openxmlformats.org/officeDocument/2006/relationships/hyperlink" Target="https://www.linkedin.com/learning/delivering-bad-news-to-a-customer" TargetMode="External"/><Relationship Id="rId115" Type="http://schemas.openxmlformats.org/officeDocument/2006/relationships/hyperlink" Target="https://www.linkedin.com/learning/customer-service-in-the-field" TargetMode="External"/><Relationship Id="rId136" Type="http://schemas.openxmlformats.org/officeDocument/2006/relationships/hyperlink" Target="https://www.linkedin.com/learning/just-ask-dean-karrel-2020" TargetMode="External"/><Relationship Id="rId157" Type="http://schemas.openxmlformats.org/officeDocument/2006/relationships/hyperlink" Target="https://www.linkedin.com/learning/customer-service-motivating-your-team" TargetMode="External"/><Relationship Id="rId178" Type="http://schemas.openxmlformats.org/officeDocument/2006/relationships/hyperlink" Target="https://www.linkedin.com/learning/service-metrics-for-customer-service" TargetMode="External"/><Relationship Id="rId61" Type="http://schemas.openxmlformats.org/officeDocument/2006/relationships/hyperlink" Target="https://www.linkedin.com/learning/thomas-a-stewart-and-patricia-o-connell-on-designing-and-delivering-great-customer-experience" TargetMode="External"/><Relationship Id="rId82" Type="http://schemas.openxmlformats.org/officeDocument/2006/relationships/hyperlink" Target="https://www.linkedin.com/learning/customer-success-management-fundamentals" TargetMode="External"/><Relationship Id="rId199" Type="http://schemas.openxmlformats.org/officeDocument/2006/relationships/hyperlink" Target="https://www.linkedin.com/learning/serving-customers-using-social-media-2019" TargetMode="External"/><Relationship Id="rId203" Type="http://schemas.openxmlformats.org/officeDocument/2006/relationships/hyperlink" Target="https://www.linkedin.com/learning/excel-data-analysis-forecasting" TargetMode="External"/><Relationship Id="rId19" Type="http://schemas.openxmlformats.org/officeDocument/2006/relationships/hyperlink" Target="https://www.linkedin.com/learning/journey-mapping-case-study-in-action" TargetMode="External"/><Relationship Id="rId224" Type="http://schemas.openxmlformats.org/officeDocument/2006/relationships/hyperlink" Target="https://www.linkedin.com/learning/adobe-captivate-advanced-actions" TargetMode="External"/><Relationship Id="rId245" Type="http://schemas.openxmlformats.org/officeDocument/2006/relationships/hyperlink" Target="https://www.linkedin.com/learning/ai-in-fintech-essential-training" TargetMode="External"/><Relationship Id="rId30" Type="http://schemas.openxmlformats.org/officeDocument/2006/relationships/hyperlink" Target="https://www.linkedin.com/learning/customer-service-foundations-2" TargetMode="External"/><Relationship Id="rId105" Type="http://schemas.openxmlformats.org/officeDocument/2006/relationships/hyperlink" Target="https://www.linkedin.com/learning/learning-moodle-3-9" TargetMode="External"/><Relationship Id="rId126" Type="http://schemas.openxmlformats.org/officeDocument/2006/relationships/hyperlink" Target="https://www.linkedin.com/learning/instructional-design-needs-analysis/defining-learning-outcomes" TargetMode="External"/><Relationship Id="rId147" Type="http://schemas.openxmlformats.org/officeDocument/2006/relationships/hyperlink" Target="https://www.linkedin.com/learning/color-trends" TargetMode="External"/><Relationship Id="rId168" Type="http://schemas.openxmlformats.org/officeDocument/2006/relationships/hyperlink" Target="https://www.linkedin.com/learning/teaching-techniques-blended-learning" TargetMode="External"/><Relationship Id="rId51" Type="http://schemas.openxmlformats.org/officeDocument/2006/relationships/hyperlink" Target="https://www.linkedin.com/learning/paths/master-advanced-excel-data-analytics-skills" TargetMode="External"/><Relationship Id="rId72" Type="http://schemas.openxmlformats.org/officeDocument/2006/relationships/hyperlink" Target="https://www.linkedin.com/learning/instructional-design-essentials-models-of-id-2/addie-evaluation-phase" TargetMode="External"/><Relationship Id="rId93" Type="http://schemas.openxmlformats.org/officeDocument/2006/relationships/hyperlink" Target="https://www.linkedin.com/learning/build-your-own-baller-training-quick-start-guide" TargetMode="External"/><Relationship Id="rId189" Type="http://schemas.openxmlformats.org/officeDocument/2006/relationships/hyperlink" Target="https://www.linkedin.com/learning/powerpoint-for-teachers-creating-interactive-lessons" TargetMode="External"/><Relationship Id="rId3" Type="http://schemas.openxmlformats.org/officeDocument/2006/relationships/hyperlink" Target="https://www.linkedin.com/learning/business-analytics-forecasting-with-exponential-smoothing" TargetMode="External"/><Relationship Id="rId214" Type="http://schemas.openxmlformats.org/officeDocument/2006/relationships/hyperlink" Target="https://www.linkedin.com/learning/designing-a-training-program-setting-goals-objectives-and-mediums" TargetMode="External"/><Relationship Id="rId235" Type="http://schemas.openxmlformats.org/officeDocument/2006/relationships/hyperlink" Target="https://www.linkedin.com/learning/power-bi-data-methods" TargetMode="External"/><Relationship Id="rId116" Type="http://schemas.openxmlformats.org/officeDocument/2006/relationships/hyperlink" Target="https://www.linkedin.com/learning/machine-learning-ai-foundations-decision-trees" TargetMode="External"/><Relationship Id="rId137" Type="http://schemas.openxmlformats.org/officeDocument/2006/relationships/hyperlink" Target="https://www.linkedin.com/learning/data-ethics-making-data-driven-decisions" TargetMode="External"/><Relationship Id="rId158" Type="http://schemas.openxmlformats.org/officeDocument/2006/relationships/hyperlink" Target="https://www.linkedin.com/learning/r-essential-training-part-1-wrangling-and-visualizing-data" TargetMode="External"/><Relationship Id="rId20" Type="http://schemas.openxmlformats.org/officeDocument/2006/relationships/hyperlink" Target="https://www.linkedin.com/learning/paths/develop-your-customer-service-skills" TargetMode="External"/><Relationship Id="rId41" Type="http://schemas.openxmlformats.org/officeDocument/2006/relationships/hyperlink" Target="https://www.linkedin.com/learning/data-science-foundations-fundamentals" TargetMode="External"/><Relationship Id="rId62" Type="http://schemas.openxmlformats.org/officeDocument/2006/relationships/hyperlink" Target="https://www.linkedin.com/learning/the-data-science-of-media-and-entertainment-with-barton-poulson" TargetMode="External"/><Relationship Id="rId83" Type="http://schemas.openxmlformats.org/officeDocument/2006/relationships/hyperlink" Target="https://www.linkedin.com/learning/data-science-tools-of-the-trade-first-steps" TargetMode="External"/><Relationship Id="rId179" Type="http://schemas.openxmlformats.org/officeDocument/2006/relationships/hyperlink" Target="https://www.linkedin.com/learning/r-essential-training-part-2-modeling-data" TargetMode="External"/><Relationship Id="rId190" Type="http://schemas.openxmlformats.org/officeDocument/2006/relationships/hyperlink" Target="https://www.linkedin.com/learning/customer-service-using-ai-and-machine-learning" TargetMode="External"/><Relationship Id="rId204" Type="http://schemas.openxmlformats.org/officeDocument/2006/relationships/hyperlink" Target="https://www.linkedin.com/learning/ux-deep-dive-remote-research" TargetMode="External"/><Relationship Id="rId225" Type="http://schemas.openxmlformats.org/officeDocument/2006/relationships/hyperlink" Target="https://www.linkedin.com/learning/nosql-data-modeling-essential-training" TargetMode="External"/><Relationship Id="rId246" Type="http://schemas.openxmlformats.org/officeDocument/2006/relationships/hyperlink" Target="https://www.linkedin.com/learning/excel-avoiding-common-mistakes-office-365-excel-2019" TargetMode="External"/><Relationship Id="rId106" Type="http://schemas.openxmlformats.org/officeDocument/2006/relationships/hyperlink" Target="https://www.linkedin.com/learning/data-ethics-managing-your-private-customer-data" TargetMode="External"/><Relationship Id="rId127" Type="http://schemas.openxmlformats.org/officeDocument/2006/relationships/hyperlink" Target="https://www.linkedin.com/learning/customer-service-serving-internal-customers" TargetMode="External"/><Relationship Id="rId10" Type="http://schemas.openxmlformats.org/officeDocument/2006/relationships/hyperlink" Target="https://www.linkedin.com/learning/paths/become-a-business-analyst" TargetMode="External"/><Relationship Id="rId31" Type="http://schemas.openxmlformats.org/officeDocument/2006/relationships/hyperlink" Target="https://www.linkedin.com/learning/data-driven-learning-design" TargetMode="External"/><Relationship Id="rId52" Type="http://schemas.openxmlformats.org/officeDocument/2006/relationships/hyperlink" Target="https://www.linkedin.com/learning/camtasia-2019-for-mac-essential-training" TargetMode="External"/><Relationship Id="rId73" Type="http://schemas.openxmlformats.org/officeDocument/2006/relationships/hyperlink" Target="https://www.linkedin.com/learning/ecommerce-fundamentals" TargetMode="External"/><Relationship Id="rId94" Type="http://schemas.openxmlformats.org/officeDocument/2006/relationships/hyperlink" Target="https://www.linkedin.com/learning/engagement-preparation-best-practices-for-customer-success-management" TargetMode="External"/><Relationship Id="rId148" Type="http://schemas.openxmlformats.org/officeDocument/2006/relationships/hyperlink" Target="https://www.linkedin.com/learning/customer-advocacy" TargetMode="External"/><Relationship Id="rId169" Type="http://schemas.openxmlformats.org/officeDocument/2006/relationships/hyperlink" Target="https://www.linkedin.com/learning/managing-a-customer-service-team"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www.linkedin.com/learning/applying-agile-moscow-prioritization" TargetMode="External"/><Relationship Id="rId21" Type="http://schemas.openxmlformats.org/officeDocument/2006/relationships/hyperlink" Target="https://www.linkedin.com/learning/human-resources-leadership-and-strategic-impact/efficiency-effectiveness-and-impact" TargetMode="External"/><Relationship Id="rId63" Type="http://schemas.openxmlformats.org/officeDocument/2006/relationships/hyperlink" Target="https://www.linkedin.com/learning/paths/become-an-it-support-technician?u=104" TargetMode="External"/><Relationship Id="rId159" Type="http://schemas.openxmlformats.org/officeDocument/2006/relationships/hyperlink" Target="https://www.linkedin.com/learning/finance-and-accounting-tips" TargetMode="External"/><Relationship Id="rId170" Type="http://schemas.openxmlformats.org/officeDocument/2006/relationships/hyperlink" Target="https://www.linkedin.com/learning/business-apps-for-sharepoint-monthly" TargetMode="External"/><Relationship Id="rId226" Type="http://schemas.openxmlformats.org/officeDocument/2006/relationships/hyperlink" Target="http://www.linkedin.com/learning/excel-economic-analysis-and-data-analytics" TargetMode="External"/><Relationship Id="rId268" Type="http://schemas.openxmlformats.org/officeDocument/2006/relationships/hyperlink" Target="http://www.linkedin.com/learning/data-analytics-for-business-professionals" TargetMode="External"/><Relationship Id="rId32" Type="http://schemas.openxmlformats.org/officeDocument/2006/relationships/hyperlink" Target="https://www.linkedin.com/learning/paths/develop-your-finance-and-accounting-skills" TargetMode="External"/><Relationship Id="rId74" Type="http://schemas.openxmlformats.org/officeDocument/2006/relationships/hyperlink" Target="https://www.linkedin.com/learning/managing-globally/what-is-cultural-agility" TargetMode="External"/><Relationship Id="rId128" Type="http://schemas.openxmlformats.org/officeDocument/2006/relationships/hyperlink" Target="https://www.linkedin.com/learning/machine-learning-and-ai-foundations-value-estimations" TargetMode="External"/><Relationship Id="rId5" Type="http://schemas.openxmlformats.org/officeDocument/2006/relationships/hyperlink" Target="https://www.linkedin.com/learning/penetration-testing-advanced-web-testing" TargetMode="External"/><Relationship Id="rId181" Type="http://schemas.openxmlformats.org/officeDocument/2006/relationships/hyperlink" Target="https://www.linkedin.com/learning/creating-a-leadership-development-program" TargetMode="External"/><Relationship Id="rId237" Type="http://schemas.openxmlformats.org/officeDocument/2006/relationships/hyperlink" Target="https://www.linkedin.com/learning/azure-administration-deploy-and-manage-virtual-machines" TargetMode="External"/><Relationship Id="rId258" Type="http://schemas.openxmlformats.org/officeDocument/2006/relationships/hyperlink" Target="http://www.linkedin.com/learning/information-management-document-security" TargetMode="External"/><Relationship Id="rId279" Type="http://schemas.openxmlformats.org/officeDocument/2006/relationships/hyperlink" Target="https://www.linkedin.com/learning/accounting-foundations-cost-based-pricing-strategies" TargetMode="External"/><Relationship Id="rId22" Type="http://schemas.openxmlformats.org/officeDocument/2006/relationships/hyperlink" Target="https://www.linkedin.com/learning/paths/become-an-hr-business-partner" TargetMode="External"/><Relationship Id="rId43" Type="http://schemas.openxmlformats.org/officeDocument/2006/relationships/hyperlink" Target="https://www.linkedin.com/learning/accounting-foundations-2" TargetMode="External"/><Relationship Id="rId64" Type="http://schemas.openxmlformats.org/officeDocument/2006/relationships/hyperlink" Target="https://www.linkedin.com/learning/finance-foundations-2/the-essence-of-finance?" TargetMode="External"/><Relationship Id="rId118" Type="http://schemas.openxmlformats.org/officeDocument/2006/relationships/hyperlink" Target="https://www.linkedin.com/learning/inclusion-during-difficult-times" TargetMode="External"/><Relationship Id="rId139" Type="http://schemas.openxmlformats.org/officeDocument/2006/relationships/hyperlink" Target="https://www.linkedin.com/learning/recruiting-foundations" TargetMode="External"/><Relationship Id="rId85" Type="http://schemas.openxmlformats.org/officeDocument/2006/relationships/hyperlink" Target="https://www.linkedin.com/learning/human-resources-protecting-confidentiality" TargetMode="External"/><Relationship Id="rId150" Type="http://schemas.openxmlformats.org/officeDocument/2006/relationships/hyperlink" Target="https://www.linkedin.com/learning/income-statement-p-l-and-cash-flow-explained" TargetMode="External"/><Relationship Id="rId171" Type="http://schemas.openxmlformats.org/officeDocument/2006/relationships/hyperlink" Target="https://www.linkedin.com/learning/recovering-from-a-financial-setback" TargetMode="External"/><Relationship Id="rId192" Type="http://schemas.openxmlformats.org/officeDocument/2006/relationships/hyperlink" Target="https://www.linkedin.com/learning/api-testing-foundations" TargetMode="External"/><Relationship Id="rId206" Type="http://schemas.openxmlformats.org/officeDocument/2006/relationships/hyperlink" Target="https://www.linkedin.com/learning/hr-as-a-business-partner" TargetMode="External"/><Relationship Id="rId227" Type="http://schemas.openxmlformats.org/officeDocument/2006/relationships/hyperlink" Target="https://www.linkedin.com/learning/organizational-learning-and-development" TargetMode="External"/><Relationship Id="rId248" Type="http://schemas.openxmlformats.org/officeDocument/2006/relationships/hyperlink" Target="https://www.linkedin.com/learning/diversity-recruiting-2020" TargetMode="External"/><Relationship Id="rId269" Type="http://schemas.openxmlformats.org/officeDocument/2006/relationships/hyperlink" Target="https://www.linkedin.com/learning/leadership-mindsets" TargetMode="External"/><Relationship Id="rId12" Type="http://schemas.openxmlformats.org/officeDocument/2006/relationships/hyperlink" Target="https://www.linkedin.com/learning/paths/advance-your-skills-as-an-it-help-desk-specialist?u=104" TargetMode="External"/><Relationship Id="rId33" Type="http://schemas.openxmlformats.org/officeDocument/2006/relationships/hyperlink" Target="https://www.linkedin.com/learning/human-resources-strategic-workforce-planning" TargetMode="External"/><Relationship Id="rId108" Type="http://schemas.openxmlformats.org/officeDocument/2006/relationships/hyperlink" Target="http://www.linkedin.com/learning/financial-accounting-part-2" TargetMode="External"/><Relationship Id="rId129" Type="http://schemas.openxmlformats.org/officeDocument/2006/relationships/hyperlink" Target="https://www.linkedin.com/learning/foundations-of-managerial-accounting" TargetMode="External"/><Relationship Id="rId54" Type="http://schemas.openxmlformats.org/officeDocument/2006/relationships/hyperlink" Target="https://www.linkedin.com/learning/learning-cloud-computing-core-concepts-2019-revision" TargetMode="External"/><Relationship Id="rId75" Type="http://schemas.openxmlformats.org/officeDocument/2006/relationships/hyperlink" Target="https://www.linkedin.com/learning/managing-globally/what-is-cultural-agility" TargetMode="External"/><Relationship Id="rId96" Type="http://schemas.openxmlformats.org/officeDocument/2006/relationships/hyperlink" Target="http://www.linkedin.com/learning/quickbooks-pro-2019-essential-training" TargetMode="External"/><Relationship Id="rId140" Type="http://schemas.openxmlformats.org/officeDocument/2006/relationships/hyperlink" Target="https://www.linkedin.com/learning/first-look-python-3-9" TargetMode="External"/><Relationship Id="rId161" Type="http://schemas.openxmlformats.org/officeDocument/2006/relationships/hyperlink" Target="https://www.linkedin.com/learning/applied-ai-for-human-resources" TargetMode="External"/><Relationship Id="rId182" Type="http://schemas.openxmlformats.org/officeDocument/2006/relationships/hyperlink" Target="https://www.linkedin.com/learning/windows-10-deploy-and-manage-virtual-applications" TargetMode="External"/><Relationship Id="rId217" Type="http://schemas.openxmlformats.org/officeDocument/2006/relationships/hyperlink" Target="https://www.linkedin.com/learning/protecting-profitability-by-reducing-financial-risk" TargetMode="External"/><Relationship Id="rId6" Type="http://schemas.openxmlformats.org/officeDocument/2006/relationships/hyperlink" Target="https://www.linkedin.com/learning/paths/advance-your-skills-as-an-azure-it-administrator" TargetMode="External"/><Relationship Id="rId238" Type="http://schemas.openxmlformats.org/officeDocument/2006/relationships/hyperlink" Target="http://www.linkedin.com/learning/consulting-foundations-client-management-and-relationships" TargetMode="External"/><Relationship Id="rId259" Type="http://schemas.openxmlformats.org/officeDocument/2006/relationships/hyperlink" Target="https://www.linkedin.com/learning/rolling-out-a-dibs-training-program-in-your-company" TargetMode="External"/><Relationship Id="rId23" Type="http://schemas.openxmlformats.org/officeDocument/2006/relationships/hyperlink" Target="https://www.linkedin.com/learning/advanced-nlp-with-python-for-machine-learning" TargetMode="External"/><Relationship Id="rId119" Type="http://schemas.openxmlformats.org/officeDocument/2006/relationships/hyperlink" Target="https://www.linkedin.com/learning/applied-machine-learning-foundations" TargetMode="External"/><Relationship Id="rId270" Type="http://schemas.openxmlformats.org/officeDocument/2006/relationships/hyperlink" Target="http://www.linkedin.com/learning/algorithmic-trading-and-stocks-essential-training" TargetMode="External"/><Relationship Id="rId44" Type="http://schemas.openxmlformats.org/officeDocument/2006/relationships/hyperlink" Target="https://www.linkedin.com/learning/paths/stay-ahead-in-personal-finance" TargetMode="External"/><Relationship Id="rId65" Type="http://schemas.openxmlformats.org/officeDocument/2006/relationships/hyperlink" Target="https://www.linkedin.com/learning/redefining-workplace-learning-analytics" TargetMode="External"/><Relationship Id="rId86" Type="http://schemas.openxmlformats.org/officeDocument/2006/relationships/hyperlink" Target="https://www.linkedin.com/learning/learning-powerapps-2019" TargetMode="External"/><Relationship Id="rId130" Type="http://schemas.openxmlformats.org/officeDocument/2006/relationships/hyperlink" Target="https://www.linkedin.com/learning/human-resources-creating-an-employee-handbook" TargetMode="External"/><Relationship Id="rId151" Type="http://schemas.openxmlformats.org/officeDocument/2006/relationships/hyperlink" Target="https://www.linkedin.com/learning/bystander-training-from-bystander-to-upstander/supporting-upstanders" TargetMode="External"/><Relationship Id="rId172" Type="http://schemas.openxmlformats.org/officeDocument/2006/relationships/hyperlink" Target="https://www.linkedin.com/learning/building-a-talent-pipeline-from-new-recruits-to-leadership" TargetMode="External"/><Relationship Id="rId193" Type="http://schemas.openxmlformats.org/officeDocument/2006/relationships/hyperlink" Target="https://www.linkedin.com/learning/accounting-foundations-managerial-accounting" TargetMode="External"/><Relationship Id="rId207" Type="http://schemas.openxmlformats.org/officeDocument/2006/relationships/hyperlink" Target="https://www.linkedin.com/learning/amazon-web-services-automation-and-optimization" TargetMode="External"/><Relationship Id="rId228" Type="http://schemas.openxmlformats.org/officeDocument/2006/relationships/hyperlink" Target="https://www.linkedin.com/learning/network-virtualization-sdn-overlay-solutions" TargetMode="External"/><Relationship Id="rId249" Type="http://schemas.openxmlformats.org/officeDocument/2006/relationships/hyperlink" Target="https://www.linkedin.com/learning/deep-learning-face-recognition" TargetMode="External"/><Relationship Id="rId13" Type="http://schemas.openxmlformats.org/officeDocument/2006/relationships/hyperlink" Target="http://www.linkedin.com/learning/business-intelligence-for-consultants" TargetMode="External"/><Relationship Id="rId109" Type="http://schemas.openxmlformats.org/officeDocument/2006/relationships/hyperlink" Target="https://www.linkedin.com/learning/empathy-tips-for-hr-professionals" TargetMode="External"/><Relationship Id="rId260" Type="http://schemas.openxmlformats.org/officeDocument/2006/relationships/hyperlink" Target="http://www.linkedin.com/learning/increasing-engagement-with-elearning-programs" TargetMode="External"/><Relationship Id="rId34" Type="http://schemas.openxmlformats.org/officeDocument/2006/relationships/hyperlink" Target="https://www.linkedin.com/learning/paths/stay-ahead-in-all-things-dibs" TargetMode="External"/><Relationship Id="rId55" Type="http://schemas.openxmlformats.org/officeDocument/2006/relationships/hyperlink" Target="https://www.linkedin.com/learning/paths/become-an-aws-data-and-devops-specialist" TargetMode="External"/><Relationship Id="rId76" Type="http://schemas.openxmlformats.org/officeDocument/2006/relationships/hyperlink" Target="https://www.linkedin.com/learning/artificial-intelligence-foundations-thinking-machines" TargetMode="External"/><Relationship Id="rId97" Type="http://schemas.openxmlformats.org/officeDocument/2006/relationships/hyperlink" Target="https://www.linkedin.com/learning/connecting-with-your-millennial-manager" TargetMode="External"/><Relationship Id="rId120" Type="http://schemas.openxmlformats.org/officeDocument/2006/relationships/hyperlink" Target="http://www.linkedin.com/learning/statistics-foundations-1" TargetMode="External"/><Relationship Id="rId141" Type="http://schemas.openxmlformats.org/officeDocument/2006/relationships/hyperlink" Target="https://www.linkedin.com/learning/analyzing-a-real-estate-deal" TargetMode="External"/><Relationship Id="rId7" Type="http://schemas.openxmlformats.org/officeDocument/2006/relationships/hyperlink" Target="http://www.linkedin.com/learning/business-analytics-forecasting-with-seasonal-baseline-smoothing" TargetMode="External"/><Relationship Id="rId162" Type="http://schemas.openxmlformats.org/officeDocument/2006/relationships/hyperlink" Target="https://www.linkedin.com/learning/activity-based-costing" TargetMode="External"/><Relationship Id="rId183" Type="http://schemas.openxmlformats.org/officeDocument/2006/relationships/hyperlink" Target="https://www.linkedin.com/learning/corporate-finance-strategies-for-business-leaders" TargetMode="External"/><Relationship Id="rId218" Type="http://schemas.openxmlformats.org/officeDocument/2006/relationships/hyperlink" Target="https://www.linkedin.com/learning/human-resources-payroll" TargetMode="External"/><Relationship Id="rId239" Type="http://schemas.openxmlformats.org/officeDocument/2006/relationships/hyperlink" Target="https://www.linkedin.com/learning/talent-sourcing" TargetMode="External"/><Relationship Id="rId250" Type="http://schemas.openxmlformats.org/officeDocument/2006/relationships/hyperlink" Target="https://www.linkedin.com/learning/excel-2016-financial-functions-in-depth" TargetMode="External"/><Relationship Id="rId271" Type="http://schemas.openxmlformats.org/officeDocument/2006/relationships/hyperlink" Target="http://www.linkedin.com/learning/data-analytics-for-pricing-analysts-in-excel" TargetMode="External"/><Relationship Id="rId24" Type="http://schemas.openxmlformats.org/officeDocument/2006/relationships/hyperlink" Target="https://www.linkedin.com/learning/paths/advance-your-skills-in-deep-learning-and-neural-networks" TargetMode="External"/><Relationship Id="rId45" Type="http://schemas.openxmlformats.org/officeDocument/2006/relationships/hyperlink" Target="https://www.linkedin.com/learning/people-analytics" TargetMode="External"/><Relationship Id="rId66" Type="http://schemas.openxmlformats.org/officeDocument/2006/relationships/hyperlink" Target="https://www.linkedin.com/learning/artificial-intelligence-foundations-neural-networks" TargetMode="External"/><Relationship Id="rId87" Type="http://schemas.openxmlformats.org/officeDocument/2006/relationships/hyperlink" Target="https://www.linkedin.com/learning/finance-foundations-for-solopreneurs" TargetMode="External"/><Relationship Id="rId110" Type="http://schemas.openxmlformats.org/officeDocument/2006/relationships/hyperlink" Target="https://www.linkedin.com/learning/comptia-security-plus-sy0-601-cert-prep-8-network-security-design-and-implementation" TargetMode="External"/><Relationship Id="rId131" Type="http://schemas.openxmlformats.org/officeDocument/2006/relationships/hyperlink" Target="https://www.linkedin.com/learning/building-recommender-systems-with-machine-learning-and-ai" TargetMode="External"/><Relationship Id="rId152" Type="http://schemas.openxmlformats.org/officeDocument/2006/relationships/hyperlink" Target="https://www.linkedin.com/learning/learning-sap-sd-sales-and-distribution" TargetMode="External"/><Relationship Id="rId173" Type="http://schemas.openxmlformats.org/officeDocument/2006/relationships/hyperlink" Target="https://www.linkedin.com/learning/applied-ai-for-it-operations" TargetMode="External"/><Relationship Id="rId194" Type="http://schemas.openxmlformats.org/officeDocument/2006/relationships/hyperlink" Target="https://www.linkedin.com/learning/hire-retain-and-grow-top-millennial-talent" TargetMode="External"/><Relationship Id="rId208" Type="http://schemas.openxmlformats.org/officeDocument/2006/relationships/hyperlink" Target="https://www.linkedin.com/learning/financial-analysis-making-business-projections" TargetMode="External"/><Relationship Id="rId229" Type="http://schemas.openxmlformats.org/officeDocument/2006/relationships/hyperlink" Target="http://www.linkedin.com/learning/finance-essentials-for-small-business" TargetMode="External"/><Relationship Id="rId240" Type="http://schemas.openxmlformats.org/officeDocument/2006/relationships/hyperlink" Target="https://www.linkedin.com/learning/text-analytics-and-predictions-with-python-essential-training" TargetMode="External"/><Relationship Id="rId261" Type="http://schemas.openxmlformats.org/officeDocument/2006/relationships/hyperlink" Target="https://www.linkedin.com/learning/managing-misconduct-in-the-workplace-uk" TargetMode="External"/><Relationship Id="rId14" Type="http://schemas.openxmlformats.org/officeDocument/2006/relationships/hyperlink" Target="https://www.linkedin.com/learning/paths/become-a-financial-analyst" TargetMode="External"/><Relationship Id="rId35" Type="http://schemas.openxmlformats.org/officeDocument/2006/relationships/hyperlink" Target="https://www.linkedin.com/learning/learning-system-center-configuration-manager-2" TargetMode="External"/><Relationship Id="rId56" Type="http://schemas.openxmlformats.org/officeDocument/2006/relationships/hyperlink" Target="https://www.linkedin.com/learning/audit-and-due-diligence-foundations" TargetMode="External"/><Relationship Id="rId77" Type="http://schemas.openxmlformats.org/officeDocument/2006/relationships/hyperlink" Target="https://www.linkedin.com/learning/paths/master-cloud-native-infrastructure-with-kubernetes" TargetMode="External"/><Relationship Id="rId100" Type="http://schemas.openxmlformats.org/officeDocument/2006/relationships/hyperlink" Target="https://www.linkedin.com/learning/onboarding-new-hires-as-a-manager-2019" TargetMode="External"/><Relationship Id="rId8" Type="http://schemas.openxmlformats.org/officeDocument/2006/relationships/hyperlink" Target="https://www.linkedin.com/learning/paths/become-a-corporate-financial-planning-analyst" TargetMode="External"/><Relationship Id="rId98" Type="http://schemas.openxmlformats.org/officeDocument/2006/relationships/hyperlink" Target="https://www.linkedin.com/learning/working-and-collaborating-online" TargetMode="External"/><Relationship Id="rId121" Type="http://schemas.openxmlformats.org/officeDocument/2006/relationships/hyperlink" Target="https://www.linkedin.com/learning/hiring-an-employee-for-managers-2019" TargetMode="External"/><Relationship Id="rId142" Type="http://schemas.openxmlformats.org/officeDocument/2006/relationships/hyperlink" Target="https://www.linkedin.com/learning/rewarding-employee-performance" TargetMode="External"/><Relationship Id="rId163" Type="http://schemas.openxmlformats.org/officeDocument/2006/relationships/hyperlink" Target="https://www.linkedin.com/learning/introduction-to-the-phr-certification-exam" TargetMode="External"/><Relationship Id="rId184" Type="http://schemas.openxmlformats.org/officeDocument/2006/relationships/hyperlink" Target="https://www.linkedin.com/learning/driving-workplace-happiness" TargetMode="External"/><Relationship Id="rId219" Type="http://schemas.openxmlformats.org/officeDocument/2006/relationships/hyperlink" Target="https://www.linkedin.com/learning/learning-g-suite-administration-2" TargetMode="External"/><Relationship Id="rId230" Type="http://schemas.openxmlformats.org/officeDocument/2006/relationships/hyperlink" Target="https://www.linkedin.com/learning/performance-based-hiring/marketing-jobs-for-top-talent" TargetMode="External"/><Relationship Id="rId251" Type="http://schemas.openxmlformats.org/officeDocument/2006/relationships/hyperlink" Target="https://www.linkedin.com/learning/interviewing-a-job-candidate-for-recruiters-2020" TargetMode="External"/><Relationship Id="rId25" Type="http://schemas.openxmlformats.org/officeDocument/2006/relationships/hyperlink" Target="https://www.linkedin.com/learning/the-five-step-guide-to-mastering-your-money" TargetMode="External"/><Relationship Id="rId46" Type="http://schemas.openxmlformats.org/officeDocument/2006/relationships/hyperlink" Target="https://www.linkedin.com/learning/test-automation-foundations" TargetMode="External"/><Relationship Id="rId67" Type="http://schemas.openxmlformats.org/officeDocument/2006/relationships/hyperlink" Target="https://www.linkedin.com/learning/paths/get-ahead-in-ios-app-development" TargetMode="External"/><Relationship Id="rId272" Type="http://schemas.openxmlformats.org/officeDocument/2006/relationships/hyperlink" Target="http://www.linkedin.com/learning/sql-for-statistics-essential-training" TargetMode="External"/><Relationship Id="rId88" Type="http://schemas.openxmlformats.org/officeDocument/2006/relationships/hyperlink" Target="https://www.linkedin.com/learning/organizational-culture/welcome" TargetMode="External"/><Relationship Id="rId111" Type="http://schemas.openxmlformats.org/officeDocument/2006/relationships/hyperlink" Target="https://www.linkedin.com/learning/finance-foundations-risk-management" TargetMode="External"/><Relationship Id="rId132" Type="http://schemas.openxmlformats.org/officeDocument/2006/relationships/hyperlink" Target="https://www.linkedin.com/learning/corporate-finance-foundations" TargetMode="External"/><Relationship Id="rId153" Type="http://schemas.openxmlformats.org/officeDocument/2006/relationships/hyperlink" Target="https://www.linkedin.com/learning/economics-for-everyone-understanding-a-recession" TargetMode="External"/><Relationship Id="rId174" Type="http://schemas.openxmlformats.org/officeDocument/2006/relationships/hyperlink" Target="https://www.linkedin.com/learning/financial-basics-everyone-should-know" TargetMode="External"/><Relationship Id="rId195" Type="http://schemas.openxmlformats.org/officeDocument/2006/relationships/hyperlink" Target="https://www.linkedin.com/learning/devops-foundations-continuous-delivery-continuous-integration" TargetMode="External"/><Relationship Id="rId209" Type="http://schemas.openxmlformats.org/officeDocument/2006/relationships/hyperlink" Target="https://www.linkedin.com/learning/human-resources-compensation-and-benefits" TargetMode="External"/><Relationship Id="rId220" Type="http://schemas.openxmlformats.org/officeDocument/2006/relationships/hyperlink" Target="https://www.linkedin.com/learning/using-the-time-value-of-money-to-make-financial-decisions" TargetMode="External"/><Relationship Id="rId241" Type="http://schemas.openxmlformats.org/officeDocument/2006/relationships/hyperlink" Target="http://www.linkedin.com/learning/critical-roles-consultants-play-and-the-skills-you-need-to-fill-them" TargetMode="External"/><Relationship Id="rId15" Type="http://schemas.openxmlformats.org/officeDocument/2006/relationships/hyperlink" Target="https://www.linkedin.com/learning/human-resources-building-a-performance-management-system" TargetMode="External"/><Relationship Id="rId36" Type="http://schemas.openxmlformats.org/officeDocument/2006/relationships/hyperlink" Target="https://www.linkedin.com/learning/paths/become-a-c-plus-plus-developer" TargetMode="External"/><Relationship Id="rId57" Type="http://schemas.openxmlformats.org/officeDocument/2006/relationships/hyperlink" Target="https://www.linkedin.com/learning/human-resources-pay-strategy-2020" TargetMode="External"/><Relationship Id="rId262" Type="http://schemas.openxmlformats.org/officeDocument/2006/relationships/hyperlink" Target="http://www.linkedin.com/learning/agile-foundations" TargetMode="External"/><Relationship Id="rId78" Type="http://schemas.openxmlformats.org/officeDocument/2006/relationships/hyperlink" Target="https://www.linkedin.com/learning/running-a-profitable-business-understanding-financial-ratios" TargetMode="External"/><Relationship Id="rId99" Type="http://schemas.openxmlformats.org/officeDocument/2006/relationships/hyperlink" Target="https://www.linkedin.com/learning/accounting-for-managers" TargetMode="External"/><Relationship Id="rId101" Type="http://schemas.openxmlformats.org/officeDocument/2006/relationships/hyperlink" Target="https://www.linkedin.com/learning/working-with-computers-and-devices" TargetMode="External"/><Relationship Id="rId122" Type="http://schemas.openxmlformats.org/officeDocument/2006/relationships/hyperlink" Target="https://www.linkedin.com/learning/numpy-data-science-essential-training" TargetMode="External"/><Relationship Id="rId143" Type="http://schemas.openxmlformats.org/officeDocument/2006/relationships/hyperlink" Target="https://www.linkedin.com/learning/outlook-automating-your-email-with-mail-rules" TargetMode="External"/><Relationship Id="rId164" Type="http://schemas.openxmlformats.org/officeDocument/2006/relationships/hyperlink" Target="https://www.linkedin.com/learning/using-microsoft-teams-and-outlook-together-maximizing-productivity" TargetMode="External"/><Relationship Id="rId185" Type="http://schemas.openxmlformats.org/officeDocument/2006/relationships/hyperlink" Target="https://www.linkedin.com/learning/content/425902?u=104" TargetMode="External"/><Relationship Id="rId9" Type="http://schemas.openxmlformats.org/officeDocument/2006/relationships/hyperlink" Target="https://www.linkedin.com/learning/hiring-and-developing-your-future-workforce/make-human-resources-a-partner" TargetMode="External"/><Relationship Id="rId210" Type="http://schemas.openxmlformats.org/officeDocument/2006/relationships/hyperlink" Target="https://www.linkedin.com/learning/api-test-automation-with-soapui" TargetMode="External"/><Relationship Id="rId26" Type="http://schemas.openxmlformats.org/officeDocument/2006/relationships/hyperlink" Target="https://www.linkedin.com/learning/paths/become-an-accounts-payable-officer-2" TargetMode="External"/><Relationship Id="rId231" Type="http://schemas.openxmlformats.org/officeDocument/2006/relationships/hyperlink" Target="https://www.linkedin.com/learning/azure-administration-manage-subscriptions-and-resources" TargetMode="External"/><Relationship Id="rId252" Type="http://schemas.openxmlformats.org/officeDocument/2006/relationships/hyperlink" Target="https://www.linkedin.com/learning/algorithmic-trading-and-finance-models-with-python-r-and-stata-essential-training" TargetMode="External"/><Relationship Id="rId273" Type="http://schemas.openxmlformats.org/officeDocument/2006/relationships/hyperlink" Target="https://www.linkedin.com/learning/financial-modeling-and-forecasting-financial-statements" TargetMode="External"/><Relationship Id="rId47" Type="http://schemas.openxmlformats.org/officeDocument/2006/relationships/hyperlink" Target="https://www.linkedin.com/learning/paths/become-a-python-developer" TargetMode="External"/><Relationship Id="rId68" Type="http://schemas.openxmlformats.org/officeDocument/2006/relationships/hyperlink" Target="https://www.linkedin.com/learning/finance-foundations-income-taxes-2" TargetMode="External"/><Relationship Id="rId89" Type="http://schemas.openxmlformats.org/officeDocument/2006/relationships/hyperlink" Target="https://www.linkedin.com/learning/introducing-ai-to-your-organization" TargetMode="External"/><Relationship Id="rId112" Type="http://schemas.openxmlformats.org/officeDocument/2006/relationships/hyperlink" Target="https://www.linkedin.com/learning/hr-guidelines-everyone-should-know" TargetMode="External"/><Relationship Id="rId133" Type="http://schemas.openxmlformats.org/officeDocument/2006/relationships/hyperlink" Target="https://www.linkedin.com/learning/human-resources-working-with-vendors-2" TargetMode="External"/><Relationship Id="rId154" Type="http://schemas.openxmlformats.org/officeDocument/2006/relationships/hyperlink" Target="https://www.linkedin.com/learning/preventing-harassment-in-the-workplace" TargetMode="External"/><Relationship Id="rId175" Type="http://schemas.openxmlformats.org/officeDocument/2006/relationships/hyperlink" Target="https://www.linkedin.com/learning/building-a-talent-pipeline-from-new-recruits-to-leadership" TargetMode="External"/><Relationship Id="rId196" Type="http://schemas.openxmlformats.org/officeDocument/2006/relationships/hyperlink" Target="https://www.linkedin.com/learning/finance-for-non-financial-managers" TargetMode="External"/><Relationship Id="rId200" Type="http://schemas.openxmlformats.org/officeDocument/2006/relationships/hyperlink" Target="https://www.linkedin.com/learning/hiring-contract-employees" TargetMode="External"/><Relationship Id="rId16" Type="http://schemas.openxmlformats.org/officeDocument/2006/relationships/hyperlink" Target="https://www.linkedin.com/learning/paths/become-an-external-recruiter" TargetMode="External"/><Relationship Id="rId221" Type="http://schemas.openxmlformats.org/officeDocument/2006/relationships/hyperlink" Target="https://www.linkedin.com/learning/human-resources-running-company-onboarding" TargetMode="External"/><Relationship Id="rId242" Type="http://schemas.openxmlformats.org/officeDocument/2006/relationships/hyperlink" Target="https://www.linkedin.com/learning/interviewing-techniques-2019" TargetMode="External"/><Relationship Id="rId263" Type="http://schemas.openxmlformats.org/officeDocument/2006/relationships/hyperlink" Target="https://www.linkedin.com/learning/adobe-captivate-advanced-actions" TargetMode="External"/><Relationship Id="rId37" Type="http://schemas.openxmlformats.org/officeDocument/2006/relationships/hyperlink" Target="https://www.linkedin.com/learning/sap-erp-essential-training,https:/www.linkedin.com/learning/sap-erp-essential-training-2,https:/www.linkedin.com/learning/sap-erp-essential-training-2020-revision" TargetMode="External"/><Relationship Id="rId58" Type="http://schemas.openxmlformats.org/officeDocument/2006/relationships/hyperlink" Target="https://www.linkedin.com/learning/aws-administration-tips-and-tricks" TargetMode="External"/><Relationship Id="rId79" Type="http://schemas.openxmlformats.org/officeDocument/2006/relationships/hyperlink" Target="https://www.linkedin.com/learning/how-to-design-and-deliver-training-programs" TargetMode="External"/><Relationship Id="rId102" Type="http://schemas.openxmlformats.org/officeDocument/2006/relationships/hyperlink" Target="https://www.linkedin.com/learning/how-to-analyze-a-wholesale-deal-in-real-estate" TargetMode="External"/><Relationship Id="rId123" Type="http://schemas.openxmlformats.org/officeDocument/2006/relationships/hyperlink" Target="http://www.linkedin.com/learning/picking-the-right-chart-for-your-data" TargetMode="External"/><Relationship Id="rId144" Type="http://schemas.openxmlformats.org/officeDocument/2006/relationships/hyperlink" Target="https://www.linkedin.com/learning/quickbooks-payroll-essential-training" TargetMode="External"/><Relationship Id="rId90" Type="http://schemas.openxmlformats.org/officeDocument/2006/relationships/hyperlink" Target="https://www.linkedin.com/learning/understanding-capital-markets" TargetMode="External"/><Relationship Id="rId165" Type="http://schemas.openxmlformats.org/officeDocument/2006/relationships/hyperlink" Target="https://www.linkedin.com/learning/corporate-finance-statement-analysis" TargetMode="External"/><Relationship Id="rId186" Type="http://schemas.openxmlformats.org/officeDocument/2006/relationships/hyperlink" Target="https://www.linkedin.com/learning/sscp-cert-prep-7-systems-and-application-security" TargetMode="External"/><Relationship Id="rId211" Type="http://schemas.openxmlformats.org/officeDocument/2006/relationships/hyperlink" Target="https://www.linkedin.com/learning/financial-forecasting-with-big-data" TargetMode="External"/><Relationship Id="rId232" Type="http://schemas.openxmlformats.org/officeDocument/2006/relationships/hyperlink" Target="http://www.linkedin.com/learning/contracting-for-consultants" TargetMode="External"/><Relationship Id="rId253" Type="http://schemas.openxmlformats.org/officeDocument/2006/relationships/hyperlink" Target="https://www.linkedin.com/learning/excel-for-corporate-finance-professionals" TargetMode="External"/><Relationship Id="rId274" Type="http://schemas.openxmlformats.org/officeDocument/2006/relationships/hyperlink" Target="https://www.linkedin.com/learning/accounting-foundations-leases" TargetMode="External"/><Relationship Id="rId27" Type="http://schemas.openxmlformats.org/officeDocument/2006/relationships/hyperlink" Target="https://www.linkedin.com/learning/human-resources-selecting-an-hr-system" TargetMode="External"/><Relationship Id="rId48" Type="http://schemas.openxmlformats.org/officeDocument/2006/relationships/hyperlink" Target="https://www.linkedin.com/learning/accounting-foundations-bookkeeping-2" TargetMode="External"/><Relationship Id="rId69" Type="http://schemas.openxmlformats.org/officeDocument/2006/relationships/hyperlink" Target="https://www.linkedin.com/learning/privacy-in-the-age-of-covid-19" TargetMode="External"/><Relationship Id="rId113" Type="http://schemas.openxmlformats.org/officeDocument/2006/relationships/hyperlink" Target="https://www.linkedin.com/learning/agile-testing-2" TargetMode="External"/><Relationship Id="rId134" Type="http://schemas.openxmlformats.org/officeDocument/2006/relationships/hyperlink" Target="https://www.linkedin.com/learning/introduction-to-deep-learning-with-opencv" TargetMode="External"/><Relationship Id="rId80" Type="http://schemas.openxmlformats.org/officeDocument/2006/relationships/hyperlink" Target="https://www.linkedin.com/learning/machine-learning-in-mobile-applications" TargetMode="External"/><Relationship Id="rId155" Type="http://schemas.openxmlformats.org/officeDocument/2006/relationships/hyperlink" Target="https://www.linkedin.com/learning/scaling-applications-with-microsoft-azure" TargetMode="External"/><Relationship Id="rId176" Type="http://schemas.openxmlformats.org/officeDocument/2006/relationships/hyperlink" Target="https://www.linkedin.com/learning/manage-apps-with-configuration-manager" TargetMode="External"/><Relationship Id="rId197" Type="http://schemas.openxmlformats.org/officeDocument/2006/relationships/hyperlink" Target="https://www.linkedin.com/learning/hiring-a-recruiting-firm" TargetMode="External"/><Relationship Id="rId201" Type="http://schemas.openxmlformats.org/officeDocument/2006/relationships/hyperlink" Target="https://www.linkedin.com/learning/python-automation-and-testing" TargetMode="External"/><Relationship Id="rId222" Type="http://schemas.openxmlformats.org/officeDocument/2006/relationships/hyperlink" Target="https://www.linkedin.com/learning/azure-administration-configure-and-manage-virtual-networks" TargetMode="External"/><Relationship Id="rId243" Type="http://schemas.openxmlformats.org/officeDocument/2006/relationships/hyperlink" Target="https://www.linkedin.com/learning/ai-accountability-essential-training" TargetMode="External"/><Relationship Id="rId264" Type="http://schemas.openxmlformats.org/officeDocument/2006/relationships/hyperlink" Target="http://www.linkedin.com/learning/managing-international-projects-2" TargetMode="External"/><Relationship Id="rId17" Type="http://schemas.openxmlformats.org/officeDocument/2006/relationships/hyperlink" Target="https://www.linkedin.com/learning/machine-learning-ai-advanced-decision-trees" TargetMode="External"/><Relationship Id="rId38" Type="http://schemas.openxmlformats.org/officeDocument/2006/relationships/hyperlink" Target="https://www.linkedin.com/learning/paths/get-ahead-in-the-on-demand-gig-economy" TargetMode="External"/><Relationship Id="rId59" Type="http://schemas.openxmlformats.org/officeDocument/2006/relationships/hyperlink" Target="https://www.linkedin.com/learning/paths/become-an-it-security-specialist" TargetMode="External"/><Relationship Id="rId103" Type="http://schemas.openxmlformats.org/officeDocument/2006/relationships/hyperlink" Target="https://www.linkedin.com/learning/introduction-to-employee-relations-cipd-aligned" TargetMode="External"/><Relationship Id="rId124" Type="http://schemas.openxmlformats.org/officeDocument/2006/relationships/hyperlink" Target="https://www.linkedin.com/learning/ux-foundations-career-management" TargetMode="External"/><Relationship Id="rId70" Type="http://schemas.openxmlformats.org/officeDocument/2006/relationships/hyperlink" Target="https://www.linkedin.com/learning/artificial-intelligence-foundations-machine-learning" TargetMode="External"/><Relationship Id="rId91" Type="http://schemas.openxmlformats.org/officeDocument/2006/relationships/hyperlink" Target="https://www.linkedin.com/learning/teaching-civility-in-the-workplace" TargetMode="External"/><Relationship Id="rId145" Type="http://schemas.openxmlformats.org/officeDocument/2006/relationships/hyperlink" Target="https://www.linkedin.com/learning/letting-an-employee-go-2019" TargetMode="External"/><Relationship Id="rId166" Type="http://schemas.openxmlformats.org/officeDocument/2006/relationships/hyperlink" Target="https://www.linkedin.com/learning/virtual-interviewing-for-hr" TargetMode="External"/><Relationship Id="rId187" Type="http://schemas.openxmlformats.org/officeDocument/2006/relationships/hyperlink" Target="https://www.linkedin.com/learning/sap-business-one-finance-and-banking" TargetMode="External"/><Relationship Id="rId1" Type="http://schemas.openxmlformats.org/officeDocument/2006/relationships/hyperlink" Target="http://www.linkedin.com/learning/business-analytics-forecasting-with-exponential-smoothing" TargetMode="External"/><Relationship Id="rId212" Type="http://schemas.openxmlformats.org/officeDocument/2006/relationships/hyperlink" Target="https://www.linkedin.com/learning/human-resources-job-structure-and-design" TargetMode="External"/><Relationship Id="rId233" Type="http://schemas.openxmlformats.org/officeDocument/2006/relationships/hyperlink" Target="https://www.linkedin.com/learning/recruiting-veterans" TargetMode="External"/><Relationship Id="rId254" Type="http://schemas.openxmlformats.org/officeDocument/2006/relationships/hyperlink" Target="https://www.linkedin.com/learning/working-with-prehire-assessments" TargetMode="External"/><Relationship Id="rId28" Type="http://schemas.openxmlformats.org/officeDocument/2006/relationships/hyperlink" Target="https://www.linkedin.com/learning/paths/develop-your-hr-management-and-leadership-skills" TargetMode="External"/><Relationship Id="rId49" Type="http://schemas.openxmlformats.org/officeDocument/2006/relationships/hyperlink" Target="https://www.linkedin.com/learning/succession-planning" TargetMode="External"/><Relationship Id="rId114" Type="http://schemas.openxmlformats.org/officeDocument/2006/relationships/hyperlink" Target="http://www.linkedin.com/learning/financial-accounting-part-1" TargetMode="External"/><Relationship Id="rId275" Type="http://schemas.openxmlformats.org/officeDocument/2006/relationships/hyperlink" Target="https://www.linkedin.com/learning/excel-implementing-balanced-scorecards-with-kpis" TargetMode="External"/><Relationship Id="rId60" Type="http://schemas.openxmlformats.org/officeDocument/2006/relationships/hyperlink" Target="https://www.linkedin.com/learning/business-tax-foundations" TargetMode="External"/><Relationship Id="rId81" Type="http://schemas.openxmlformats.org/officeDocument/2006/relationships/hyperlink" Target="https://www.linkedin.com/learning/the-data-science-of-economics-banking-and-finance-with-barton-poulson" TargetMode="External"/><Relationship Id="rId135" Type="http://schemas.openxmlformats.org/officeDocument/2006/relationships/hyperlink" Target="https://www.linkedin.com/learning/financial-accounting-foundations" TargetMode="External"/><Relationship Id="rId156" Type="http://schemas.openxmlformats.org/officeDocument/2006/relationships/hyperlink" Target="https://www.linkedin.com/learning/developing-investment-acumen" TargetMode="External"/><Relationship Id="rId177" Type="http://schemas.openxmlformats.org/officeDocument/2006/relationships/hyperlink" Target="https://www.linkedin.com/learning/lean-accounting-foundations" TargetMode="External"/><Relationship Id="rId198" Type="http://schemas.openxmlformats.org/officeDocument/2006/relationships/hyperlink" Target="https://www.linkedin.com/learning/exploratory-testing" TargetMode="External"/><Relationship Id="rId202" Type="http://schemas.openxmlformats.org/officeDocument/2006/relationships/hyperlink" Target="https://www.linkedin.com/learning/financial-analysis-analyzing-the-top-line-with-excel" TargetMode="External"/><Relationship Id="rId223" Type="http://schemas.openxmlformats.org/officeDocument/2006/relationships/hyperlink" Target="https://www.linkedin.com/learning/sap-accounts-payable-boot-camp" TargetMode="External"/><Relationship Id="rId244" Type="http://schemas.openxmlformats.org/officeDocument/2006/relationships/hyperlink" Target="http://www.linkedin.com/learning/focusing-on-the-bottom-line-as-an-employee" TargetMode="External"/><Relationship Id="rId18" Type="http://schemas.openxmlformats.org/officeDocument/2006/relationships/hyperlink" Target="https://www.linkedin.com/learning/paths/advance-your-skills-in-ai-and-machine-learning" TargetMode="External"/><Relationship Id="rId39" Type="http://schemas.openxmlformats.org/officeDocument/2006/relationships/hyperlink" Target="https://www.linkedin.com/learning/human-resources-understanding-hr-systems-features-and-benefits" TargetMode="External"/><Relationship Id="rId265" Type="http://schemas.openxmlformats.org/officeDocument/2006/relationships/hyperlink" Target="https://www.linkedin.com/learning/converting-face-to-face-training-into-digital-learning" TargetMode="External"/><Relationship Id="rId50" Type="http://schemas.openxmlformats.org/officeDocument/2006/relationships/hyperlink" Target="https://www.linkedin.com/learning/managing-globally/what-is-cultural-agility" TargetMode="External"/><Relationship Id="rId104" Type="http://schemas.openxmlformats.org/officeDocument/2006/relationships/hyperlink" Target="https://www.linkedin.com/learning/foundations-of-enterprise-content-management,https:/www.linkedin.com/learning/foundations-of-enterprise-content-management-2,https:/www.linkedin.com/learning/foundations-of-enterprise-content-management-2020" TargetMode="External"/><Relationship Id="rId125" Type="http://schemas.openxmlformats.org/officeDocument/2006/relationships/hyperlink" Target="https://www.linkedin.com/learning/learning-xai-explainable-artificial-intelligence" TargetMode="External"/><Relationship Id="rId146" Type="http://schemas.openxmlformats.org/officeDocument/2006/relationships/hyperlink" Target="https://www.linkedin.com/learning/sap-materials-management-essential-training" TargetMode="External"/><Relationship Id="rId167" Type="http://schemas.openxmlformats.org/officeDocument/2006/relationships/hyperlink" Target="https://www.linkedin.com/learning/microsoft-teams-successful-meetings-and-events" TargetMode="External"/><Relationship Id="rId188" Type="http://schemas.openxmlformats.org/officeDocument/2006/relationships/hyperlink" Target="https://www.linkedin.com/learning/employee-experience/four-stages-of-an-employee-experience" TargetMode="External"/><Relationship Id="rId71" Type="http://schemas.openxmlformats.org/officeDocument/2006/relationships/hyperlink" Target="https://www.linkedin.com/learning/paths/improve-your-itil-skills?u=104" TargetMode="External"/><Relationship Id="rId92" Type="http://schemas.openxmlformats.org/officeDocument/2006/relationships/hyperlink" Target="https://www.linkedin.com/learning/succeeding-in-web-development-full-stack-and-front-end" TargetMode="External"/><Relationship Id="rId213" Type="http://schemas.openxmlformats.org/officeDocument/2006/relationships/hyperlink" Target="https://www.linkedin.com/learning/ccna-security-210-260-cert-prep-4-secure-routing-and-switching" TargetMode="External"/><Relationship Id="rId234" Type="http://schemas.openxmlformats.org/officeDocument/2006/relationships/hyperlink" Target="https://www.linkedin.com/learning/machine-learning-and-ai-foundations-recommendations" TargetMode="External"/><Relationship Id="rId2" Type="http://schemas.openxmlformats.org/officeDocument/2006/relationships/hyperlink" Target="https://www.linkedin.com/learning/paths/become-a-bookkeeper" TargetMode="External"/><Relationship Id="rId29" Type="http://schemas.openxmlformats.org/officeDocument/2006/relationships/hyperlink" Target="https://www.linkedin.com/learning/microsoft-power-apps-ai-builder" TargetMode="External"/><Relationship Id="rId255" Type="http://schemas.openxmlformats.org/officeDocument/2006/relationships/hyperlink" Target="https://www.linkedin.com/learning/power-bi-data-modeling-with-dax" TargetMode="External"/><Relationship Id="rId276" Type="http://schemas.openxmlformats.org/officeDocument/2006/relationships/hyperlink" Target="https://www.linkedin.com/learning/accounting-foundations-internal-controls" TargetMode="External"/><Relationship Id="rId40" Type="http://schemas.openxmlformats.org/officeDocument/2006/relationships/hyperlink" Target="https://www.linkedin.com/learning/paths/finding-and-retaining-talent" TargetMode="External"/><Relationship Id="rId115" Type="http://schemas.openxmlformats.org/officeDocument/2006/relationships/hyperlink" Target="https://www.linkedin.com/learning/creating-a-culture-of-learning-2020" TargetMode="External"/><Relationship Id="rId136" Type="http://schemas.openxmlformats.org/officeDocument/2006/relationships/hyperlink" Target="https://www.linkedin.com/learning/managing-temporary-and-contract-employees" TargetMode="External"/><Relationship Id="rId157" Type="http://schemas.openxmlformats.org/officeDocument/2006/relationships/hyperlink" Target="https://www.linkedin.com/learning/adding-value-through-diversity" TargetMode="External"/><Relationship Id="rId178" Type="http://schemas.openxmlformats.org/officeDocument/2006/relationships/hyperlink" Target="https://www.linkedin.com/learning/building-a-talent-pipeline-from-new-recruits-to-leadership" TargetMode="External"/><Relationship Id="rId61" Type="http://schemas.openxmlformats.org/officeDocument/2006/relationships/hyperlink" Target="https://www.linkedin.com/learning/crisis-communication-for-hr" TargetMode="External"/><Relationship Id="rId82" Type="http://schemas.openxmlformats.org/officeDocument/2006/relationships/hyperlink" Target="https://www.linkedin.com/learning/human-resources-foundations" TargetMode="External"/><Relationship Id="rId199" Type="http://schemas.openxmlformats.org/officeDocument/2006/relationships/hyperlink" Target="https://www.linkedin.com/learning/financial-analysis-analyzing-the-bottom-line-with-excel" TargetMode="External"/><Relationship Id="rId203" Type="http://schemas.openxmlformats.org/officeDocument/2006/relationships/hyperlink" Target="https://www.linkedin.com/learning/hiring-managing-and-separating-from-employees" TargetMode="External"/><Relationship Id="rId19" Type="http://schemas.openxmlformats.org/officeDocument/2006/relationships/hyperlink" Target="https://www.linkedin.com/learning/accounting-foundations-asset-impairment" TargetMode="External"/><Relationship Id="rId224" Type="http://schemas.openxmlformats.org/officeDocument/2006/relationships/hyperlink" Target="https://www.linkedin.com/learning/human-resources-using-metrics-to-drive-hr-strategy" TargetMode="External"/><Relationship Id="rId245" Type="http://schemas.openxmlformats.org/officeDocument/2006/relationships/hyperlink" Target="https://www.linkedin.com/learning/success-metrics-in-your-l-d-program" TargetMode="External"/><Relationship Id="rId266" Type="http://schemas.openxmlformats.org/officeDocument/2006/relationships/hyperlink" Target="http://www.linkedin.com/learning/statistics-foundations-2" TargetMode="External"/><Relationship Id="rId30" Type="http://schemas.openxmlformats.org/officeDocument/2006/relationships/hyperlink" Target="https://www.linkedin.com/learning/paths/applying-lean-devops-and-agile-to-your-it-organization?u=104" TargetMode="External"/><Relationship Id="rId105" Type="http://schemas.openxmlformats.org/officeDocument/2006/relationships/hyperlink" Target="http://www.linkedin.com/learning/consulting-foundations" TargetMode="External"/><Relationship Id="rId126" Type="http://schemas.openxmlformats.org/officeDocument/2006/relationships/hyperlink" Target="https://www.linkedin.com/learning/learning-data-analytics-2/understanding-roles-in-data-analysis" TargetMode="External"/><Relationship Id="rId147" Type="http://schemas.openxmlformats.org/officeDocument/2006/relationships/hyperlink" Target="https://www.linkedin.com/learning/business-financials-explained" TargetMode="External"/><Relationship Id="rId168" Type="http://schemas.openxmlformats.org/officeDocument/2006/relationships/hyperlink" Target="https://www.linkedin.com/learning/financial-record-keeping" TargetMode="External"/><Relationship Id="rId51" Type="http://schemas.openxmlformats.org/officeDocument/2006/relationships/hyperlink" Target="https://www.linkedin.com/learning/paths/master-the-fundamentals-of-ai-and-machine-learning?u=104" TargetMode="External"/><Relationship Id="rId72" Type="http://schemas.openxmlformats.org/officeDocument/2006/relationships/hyperlink" Target="https://www.linkedin.com/learning/running-a-profitable-business-understanding-cash-flow" TargetMode="External"/><Relationship Id="rId93" Type="http://schemas.openxmlformats.org/officeDocument/2006/relationships/hyperlink" Target="https://www.linkedin.com/learning/quickbooks-online-essential-training" TargetMode="External"/><Relationship Id="rId189" Type="http://schemas.openxmlformats.org/officeDocument/2006/relationships/hyperlink" Target="https://www.linkedin.com/learning/windows-presentation-foundation-1-build-dramatic-desktop-applications" TargetMode="External"/><Relationship Id="rId3" Type="http://schemas.openxmlformats.org/officeDocument/2006/relationships/hyperlink" Target="https://www.linkedin.com/learning/employee-engagement/define-engagement" TargetMode="External"/><Relationship Id="rId214" Type="http://schemas.openxmlformats.org/officeDocument/2006/relationships/hyperlink" Target="https://www.linkedin.com/learning/forecasting-using-financial-statements" TargetMode="External"/><Relationship Id="rId235" Type="http://schemas.openxmlformats.org/officeDocument/2006/relationships/hyperlink" Target="http://www.linkedin.com/learning/financial-modeling-foundations" TargetMode="External"/><Relationship Id="rId256" Type="http://schemas.openxmlformats.org/officeDocument/2006/relationships/hyperlink" Target="https://www.linkedin.com/learning/corporate-finance-robust-financial-modeling" TargetMode="External"/><Relationship Id="rId277" Type="http://schemas.openxmlformats.org/officeDocument/2006/relationships/hyperlink" Target="https://www.linkedin.com/learning/evaluating-business-investment-decisions" TargetMode="External"/><Relationship Id="rId116" Type="http://schemas.openxmlformats.org/officeDocument/2006/relationships/hyperlink" Target="https://www.linkedin.com/learning/comptia-security-plus-sy0-501-cert-prep-4-identity-and-access-management" TargetMode="External"/><Relationship Id="rId137" Type="http://schemas.openxmlformats.org/officeDocument/2006/relationships/hyperlink" Target="https://www.linkedin.com/learning/introduction-to-responsible-ai-algorithm-design" TargetMode="External"/><Relationship Id="rId158" Type="http://schemas.openxmlformats.org/officeDocument/2006/relationships/hyperlink" Target="https://www.linkedin.com/learning/powerpoint-8-easy-ways-to-make-your-presentations-look-better,https:/www.linkedin.com/learning/powerpoint-eight-easy-ways-to-make-your-presentation-stand-out" TargetMode="External"/><Relationship Id="rId20" Type="http://schemas.openxmlformats.org/officeDocument/2006/relationships/hyperlink" Target="https://www.linkedin.com/learning/paths/become-a-small-business-owner" TargetMode="External"/><Relationship Id="rId41" Type="http://schemas.openxmlformats.org/officeDocument/2006/relationships/hyperlink" Target="https://www.linkedin.com/learning/learning-java-applications-2" TargetMode="External"/><Relationship Id="rId62" Type="http://schemas.openxmlformats.org/officeDocument/2006/relationships/hyperlink" Target="https://www.linkedin.com/learning/applied-machine-learning-algorithms" TargetMode="External"/><Relationship Id="rId83" Type="http://schemas.openxmlformats.org/officeDocument/2006/relationships/hyperlink" Target="https://www.linkedin.com/learning/machine-learning-and-ai-foundations-predictive-modeling-strategy-at-scale" TargetMode="External"/><Relationship Id="rId179" Type="http://schemas.openxmlformats.org/officeDocument/2006/relationships/hyperlink" Target="https://www.linkedin.com/learning/devops-foundations-infrastructure-as-code" TargetMode="External"/><Relationship Id="rId190" Type="http://schemas.openxmlformats.org/officeDocument/2006/relationships/hyperlink" Target="https://www.linkedin.com/learning/corporate-finance-profitability-in-a-financial-downturn" TargetMode="External"/><Relationship Id="rId204" Type="http://schemas.openxmlformats.org/officeDocument/2006/relationships/hyperlink" Target="https://www.linkedin.com/learning/jenkins-essential-training" TargetMode="External"/><Relationship Id="rId225" Type="http://schemas.openxmlformats.org/officeDocument/2006/relationships/hyperlink" Target="https://www.linkedin.com/learning/configuration-manager-configure-and-maintain-a-management-infrastructure" TargetMode="External"/><Relationship Id="rId246" Type="http://schemas.openxmlformats.org/officeDocument/2006/relationships/hyperlink" Target="https://www.linkedin.com/learning/deep-learning-image-recognition" TargetMode="External"/><Relationship Id="rId267" Type="http://schemas.openxmlformats.org/officeDocument/2006/relationships/hyperlink" Target="https://www.linkedin.com/learning/articulate-storyline-quick-tips" TargetMode="External"/><Relationship Id="rId106" Type="http://schemas.openxmlformats.org/officeDocument/2006/relationships/hyperlink" Target="https://www.linkedin.com/learning/learning-microsoft-dynamics-talent-2019" TargetMode="External"/><Relationship Id="rId127" Type="http://schemas.openxmlformats.org/officeDocument/2006/relationships/hyperlink" Target="https://www.linkedin.com/learning/understanding-organisations-and-the-role-of-hr-uk" TargetMode="External"/><Relationship Id="rId10" Type="http://schemas.openxmlformats.org/officeDocument/2006/relationships/hyperlink" Target="https://www.linkedin.com/learning/paths/become-a-technical-recruiter" TargetMode="External"/><Relationship Id="rId31" Type="http://schemas.openxmlformats.org/officeDocument/2006/relationships/hyperlink" Target="https://www.linkedin.com/learning/financial-adulting" TargetMode="External"/><Relationship Id="rId52" Type="http://schemas.openxmlformats.org/officeDocument/2006/relationships/hyperlink" Target="https://www.linkedin.com/learning/accounting-foundations-budgeting-2" TargetMode="External"/><Relationship Id="rId73" Type="http://schemas.openxmlformats.org/officeDocument/2006/relationships/hyperlink" Target="https://www.linkedin.com/learning/handling-workplace-bullying" TargetMode="External"/><Relationship Id="rId94" Type="http://schemas.openxmlformats.org/officeDocument/2006/relationships/hyperlink" Target="https://www.linkedin.com/learning/women-transforming-tech-finding-sponsors" TargetMode="External"/><Relationship Id="rId148" Type="http://schemas.openxmlformats.org/officeDocument/2006/relationships/hyperlink" Target="https://www.linkedin.com/learning/establishing-work-from-home-policies" TargetMode="External"/><Relationship Id="rId169" Type="http://schemas.openxmlformats.org/officeDocument/2006/relationships/hyperlink" Target="https://www.linkedin.com/learning/administrative-human-resources" TargetMode="External"/><Relationship Id="rId4" Type="http://schemas.openxmlformats.org/officeDocument/2006/relationships/hyperlink" Target="https://www.linkedin.com/learning/paths/become-a-corporate-recruiter" TargetMode="External"/><Relationship Id="rId180" Type="http://schemas.openxmlformats.org/officeDocument/2006/relationships/hyperlink" Target="https://www.linkedin.com/learning/economics-for-business-leaders" TargetMode="External"/><Relationship Id="rId215" Type="http://schemas.openxmlformats.org/officeDocument/2006/relationships/hyperlink" Target="https://www.linkedin.com/learning/human-resources-managing-employee-problems" TargetMode="External"/><Relationship Id="rId236" Type="http://schemas.openxmlformats.org/officeDocument/2006/relationships/hyperlink" Target="https://www.linkedin.com/learning/strategic-human-resources" TargetMode="External"/><Relationship Id="rId257" Type="http://schemas.openxmlformats.org/officeDocument/2006/relationships/hyperlink" Target="https://www.linkedin.com/learning/setting-and-managing-realistic-expectations-for-your-l-d-program" TargetMode="External"/><Relationship Id="rId278" Type="http://schemas.openxmlformats.org/officeDocument/2006/relationships/hyperlink" Target="https://www.linkedin.com/learning/ai-in-fintech-essential-training" TargetMode="External"/><Relationship Id="rId42" Type="http://schemas.openxmlformats.org/officeDocument/2006/relationships/hyperlink" Target="https://www.linkedin.com/learning/paths/become-a-cloud-administrator" TargetMode="External"/><Relationship Id="rId84" Type="http://schemas.openxmlformats.org/officeDocument/2006/relationships/hyperlink" Target="https://www.linkedin.com/learning/teaching-your-kids-about-finance" TargetMode="External"/><Relationship Id="rId138" Type="http://schemas.openxmlformats.org/officeDocument/2006/relationships/hyperlink" Target="https://www.linkedin.com/learning/behavioral-finance-foundations" TargetMode="External"/><Relationship Id="rId191" Type="http://schemas.openxmlformats.org/officeDocument/2006/relationships/hyperlink" Target="https://www.linkedin.com/learning/finding-and-retaining-high-potentials" TargetMode="External"/><Relationship Id="rId205" Type="http://schemas.openxmlformats.org/officeDocument/2006/relationships/hyperlink" Target="https://www.linkedin.com/learning/financial-analysis-introduction-to-business-performance-analysis" TargetMode="External"/><Relationship Id="rId247" Type="http://schemas.openxmlformats.org/officeDocument/2006/relationships/hyperlink" Target="http://www.linkedin.com/learning/excel-for-investment-professionals" TargetMode="External"/><Relationship Id="rId107" Type="http://schemas.openxmlformats.org/officeDocument/2006/relationships/hyperlink" Target="https://www.linkedin.com/learning/getting-started-with-live-streaming" TargetMode="External"/><Relationship Id="rId11" Type="http://schemas.openxmlformats.org/officeDocument/2006/relationships/hyperlink" Target="https://www.linkedin.com/learning/cissp-cert-prep-5-identity-and-access-management-2" TargetMode="External"/><Relationship Id="rId53" Type="http://schemas.openxmlformats.org/officeDocument/2006/relationships/hyperlink" Target="https://www.linkedin.com/learning/using-neuroscience-for-more-effective-l-d" TargetMode="External"/><Relationship Id="rId149" Type="http://schemas.openxmlformats.org/officeDocument/2006/relationships/hyperlink" Target="https://www.linkedin.com/learning/access-2019-building-dashboards-for-excel" TargetMode="External"/><Relationship Id="rId95" Type="http://schemas.openxmlformats.org/officeDocument/2006/relationships/hyperlink" Target="https://www.linkedin.com/learning/software-development-life-cycle-sdlc" TargetMode="External"/><Relationship Id="rId160" Type="http://schemas.openxmlformats.org/officeDocument/2006/relationships/hyperlink" Target="https://www.linkedin.com/learning/addiction-a-community-issue" TargetMode="External"/><Relationship Id="rId216" Type="http://schemas.openxmlformats.org/officeDocument/2006/relationships/hyperlink" Target="https://www.linkedin.com/learning/exchange-2016-client-access-service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1C232"/>
    <outlinePr summaryBelow="0" summaryRight="0"/>
    <pageSetUpPr fitToPage="1"/>
  </sheetPr>
  <dimension ref="A1:AB1005"/>
  <sheetViews>
    <sheetView showGridLines="0" tabSelected="1" workbookViewId="0">
      <selection activeCell="H9" sqref="H9"/>
    </sheetView>
  </sheetViews>
  <sheetFormatPr baseColWidth="10" defaultColWidth="14.5" defaultRowHeight="15.75" customHeight="1" x14ac:dyDescent="0.15"/>
  <cols>
    <col min="1" max="1" width="14.5" customWidth="1"/>
    <col min="2" max="2" width="3.6640625" customWidth="1"/>
    <col min="3" max="3" width="79.6640625" customWidth="1"/>
    <col min="4" max="4" width="3.6640625" customWidth="1"/>
    <col min="5" max="5" width="85.83203125" customWidth="1"/>
    <col min="6" max="6" width="3.6640625" customWidth="1"/>
    <col min="12" max="12" width="14.1640625" customWidth="1"/>
  </cols>
  <sheetData>
    <row r="1" spans="1:28" ht="13" x14ac:dyDescent="0.15">
      <c r="A1" s="1"/>
      <c r="B1" s="1"/>
      <c r="C1" s="1"/>
      <c r="D1" s="1"/>
      <c r="E1" s="1"/>
      <c r="F1" s="1"/>
      <c r="G1" s="1"/>
      <c r="H1" s="1"/>
      <c r="I1" s="1"/>
      <c r="J1" s="1"/>
      <c r="K1" s="1"/>
      <c r="L1" s="1"/>
      <c r="M1" s="1"/>
      <c r="N1" s="1"/>
      <c r="O1" s="1"/>
      <c r="P1" s="1"/>
      <c r="Q1" s="1"/>
      <c r="R1" s="1"/>
      <c r="S1" s="1"/>
      <c r="T1" s="1"/>
      <c r="U1" s="1"/>
      <c r="V1" s="1"/>
      <c r="W1" s="1"/>
      <c r="X1" s="1"/>
      <c r="Y1" s="1"/>
      <c r="Z1" s="1"/>
      <c r="AA1" s="1"/>
      <c r="AB1" s="1"/>
    </row>
    <row r="2" spans="1:28" ht="60" customHeight="1" x14ac:dyDescent="0.25">
      <c r="A2" s="1"/>
      <c r="B2" s="191" t="s">
        <v>1455</v>
      </c>
      <c r="C2" s="189"/>
      <c r="D2" s="189"/>
      <c r="E2" s="189"/>
      <c r="F2" s="190"/>
      <c r="G2" s="1"/>
      <c r="H2" s="1"/>
      <c r="I2" s="1"/>
      <c r="J2" s="1"/>
      <c r="K2" s="1"/>
      <c r="L2" s="1"/>
      <c r="M2" s="1"/>
      <c r="N2" s="1"/>
      <c r="O2" s="1"/>
      <c r="P2" s="1"/>
      <c r="Q2" s="1"/>
      <c r="R2" s="1"/>
      <c r="S2" s="1"/>
      <c r="T2" s="1"/>
      <c r="U2" s="1"/>
      <c r="V2" s="1"/>
      <c r="W2" s="1"/>
      <c r="X2" s="1"/>
      <c r="Y2" s="1"/>
      <c r="Z2" s="1"/>
      <c r="AA2" s="1"/>
      <c r="AB2" s="1"/>
    </row>
    <row r="3" spans="1:28" ht="17" x14ac:dyDescent="0.15">
      <c r="A3" s="1"/>
      <c r="B3" s="2"/>
      <c r="C3" s="3"/>
      <c r="D3" s="4"/>
      <c r="E3" s="4"/>
      <c r="F3" s="5"/>
      <c r="G3" s="1"/>
      <c r="H3" s="1"/>
      <c r="I3" s="1"/>
      <c r="J3" s="1"/>
      <c r="K3" s="1"/>
      <c r="L3" s="1"/>
      <c r="M3" s="1"/>
      <c r="N3" s="1"/>
      <c r="O3" s="1"/>
      <c r="P3" s="1"/>
      <c r="Q3" s="1"/>
      <c r="R3" s="1"/>
      <c r="S3" s="1"/>
      <c r="T3" s="1"/>
      <c r="U3" s="1"/>
      <c r="V3" s="1"/>
      <c r="W3" s="1"/>
      <c r="X3" s="1"/>
      <c r="Y3" s="1"/>
      <c r="Z3" s="1"/>
      <c r="AA3" s="1"/>
      <c r="AB3" s="1"/>
    </row>
    <row r="4" spans="1:28" ht="20" customHeight="1" x14ac:dyDescent="0.2">
      <c r="A4" s="1"/>
      <c r="B4" s="2"/>
      <c r="C4" s="193" t="s">
        <v>0</v>
      </c>
      <c r="D4" s="194"/>
      <c r="E4" s="194"/>
      <c r="F4" s="5"/>
      <c r="G4" s="1"/>
      <c r="H4" s="1"/>
      <c r="I4" s="1"/>
      <c r="J4" s="1"/>
      <c r="K4" s="1"/>
      <c r="L4" s="1"/>
      <c r="M4" s="1"/>
      <c r="N4" s="1"/>
      <c r="O4" s="1"/>
      <c r="P4" s="1"/>
      <c r="Q4" s="1"/>
      <c r="R4" s="1"/>
      <c r="S4" s="1"/>
      <c r="T4" s="1"/>
      <c r="U4" s="1"/>
      <c r="V4" s="1"/>
      <c r="W4" s="1"/>
      <c r="X4" s="1"/>
      <c r="Y4" s="1"/>
      <c r="Z4" s="1"/>
      <c r="AA4" s="1"/>
      <c r="AB4" s="1"/>
    </row>
    <row r="5" spans="1:28" ht="55" customHeight="1" x14ac:dyDescent="0.15">
      <c r="A5" s="1"/>
      <c r="B5" s="2"/>
      <c r="C5" s="161" t="s">
        <v>1</v>
      </c>
      <c r="D5" s="160"/>
      <c r="E5" s="160"/>
      <c r="F5" s="5"/>
      <c r="G5" s="1"/>
      <c r="H5" s="1"/>
      <c r="I5" s="1"/>
      <c r="J5" s="1"/>
      <c r="K5" s="1"/>
      <c r="L5" s="1"/>
      <c r="M5" s="1"/>
      <c r="N5" s="1"/>
      <c r="O5" s="1"/>
      <c r="P5" s="1"/>
      <c r="Q5" s="1"/>
      <c r="R5" s="1"/>
      <c r="S5" s="1"/>
      <c r="T5" s="1"/>
      <c r="U5" s="1"/>
      <c r="V5" s="1"/>
      <c r="W5" s="1"/>
      <c r="X5" s="1"/>
      <c r="Y5" s="1"/>
      <c r="Z5" s="1"/>
      <c r="AA5" s="1"/>
      <c r="AB5" s="1"/>
    </row>
    <row r="6" spans="1:28" ht="32" customHeight="1" x14ac:dyDescent="0.2">
      <c r="A6" s="1"/>
      <c r="B6" s="2"/>
      <c r="C6" s="161" t="s">
        <v>1456</v>
      </c>
      <c r="D6" s="192"/>
      <c r="E6" s="192"/>
      <c r="F6" s="5"/>
      <c r="G6" s="1"/>
      <c r="H6" s="1"/>
      <c r="I6" s="1"/>
      <c r="J6" s="1"/>
      <c r="K6" s="1"/>
      <c r="L6" s="1"/>
      <c r="M6" s="1"/>
      <c r="N6" s="1"/>
      <c r="O6" s="1"/>
      <c r="P6" s="1"/>
      <c r="Q6" s="1"/>
      <c r="R6" s="1"/>
      <c r="S6" s="1"/>
      <c r="T6" s="1"/>
      <c r="U6" s="1"/>
      <c r="V6" s="1"/>
      <c r="W6" s="1"/>
      <c r="X6" s="1"/>
      <c r="Y6" s="1"/>
      <c r="Z6" s="1"/>
      <c r="AA6" s="1"/>
      <c r="AB6" s="1"/>
    </row>
    <row r="7" spans="1:28" ht="17" x14ac:dyDescent="0.15">
      <c r="A7" s="1"/>
      <c r="B7" s="2"/>
      <c r="C7" s="4"/>
      <c r="D7" s="4"/>
      <c r="E7" s="4"/>
      <c r="F7" s="5"/>
      <c r="G7" s="1"/>
      <c r="H7" s="1"/>
      <c r="I7" s="1"/>
      <c r="J7" s="1"/>
      <c r="K7" s="1"/>
      <c r="L7" s="1"/>
      <c r="M7" s="1"/>
      <c r="N7" s="1"/>
      <c r="O7" s="1"/>
      <c r="P7" s="1"/>
      <c r="Q7" s="1"/>
      <c r="R7" s="1"/>
      <c r="S7" s="1"/>
      <c r="T7" s="1"/>
      <c r="U7" s="1"/>
      <c r="V7" s="1"/>
      <c r="W7" s="1"/>
      <c r="X7" s="1"/>
      <c r="Y7" s="1"/>
      <c r="Z7" s="1"/>
      <c r="AA7" s="1"/>
      <c r="AB7" s="1"/>
    </row>
    <row r="8" spans="1:28" ht="162" x14ac:dyDescent="0.15">
      <c r="A8" s="1"/>
      <c r="B8" s="6"/>
      <c r="C8" s="7" t="s">
        <v>1457</v>
      </c>
      <c r="D8" s="8"/>
      <c r="E8" s="195" t="s">
        <v>1458</v>
      </c>
      <c r="F8" s="9"/>
      <c r="G8" s="1"/>
      <c r="H8" s="1"/>
      <c r="I8" s="1"/>
      <c r="J8" s="1"/>
      <c r="K8" s="1"/>
      <c r="L8" s="1"/>
      <c r="M8" s="1"/>
      <c r="N8" s="1"/>
      <c r="O8" s="1"/>
      <c r="P8" s="1"/>
      <c r="Q8" s="1"/>
      <c r="R8" s="1"/>
      <c r="S8" s="1"/>
      <c r="T8" s="1"/>
      <c r="U8" s="1"/>
      <c r="V8" s="1"/>
      <c r="W8" s="1"/>
      <c r="X8" s="1"/>
      <c r="Y8" s="1"/>
      <c r="Z8" s="1"/>
      <c r="AA8" s="1"/>
      <c r="AB8" s="1"/>
    </row>
    <row r="9" spans="1:28" ht="159" customHeight="1" x14ac:dyDescent="0.2">
      <c r="A9" s="1"/>
      <c r="B9" s="10"/>
      <c r="C9" s="196"/>
      <c r="D9" s="197"/>
      <c r="E9" s="198"/>
      <c r="F9" s="5"/>
      <c r="G9" s="1"/>
      <c r="H9" s="1"/>
      <c r="I9" s="1"/>
      <c r="J9" s="1"/>
      <c r="K9" s="1"/>
      <c r="L9" s="1"/>
      <c r="M9" s="1"/>
      <c r="N9" s="1"/>
      <c r="O9" s="1"/>
      <c r="P9" s="1"/>
      <c r="Q9" s="1"/>
      <c r="R9" s="1"/>
      <c r="S9" s="1"/>
      <c r="T9" s="1"/>
      <c r="U9" s="1"/>
      <c r="V9" s="1"/>
      <c r="W9" s="1"/>
      <c r="X9" s="1"/>
      <c r="Y9" s="1"/>
      <c r="Z9" s="1"/>
      <c r="AA9" s="1"/>
      <c r="AB9" s="1"/>
    </row>
    <row r="10" spans="1:28" ht="147" customHeight="1" x14ac:dyDescent="0.2">
      <c r="A10" s="1"/>
      <c r="B10" s="10"/>
      <c r="C10" s="11" t="s">
        <v>2</v>
      </c>
      <c r="D10" s="197"/>
      <c r="E10" s="12"/>
      <c r="F10" s="5"/>
      <c r="G10" s="1"/>
      <c r="H10" s="1"/>
      <c r="I10" s="1"/>
      <c r="J10" s="1"/>
      <c r="K10" s="1"/>
      <c r="L10" s="1"/>
      <c r="M10" s="1"/>
      <c r="N10" s="1"/>
      <c r="O10" s="1"/>
      <c r="P10" s="1"/>
      <c r="Q10" s="1"/>
      <c r="R10" s="1"/>
      <c r="S10" s="1"/>
      <c r="T10" s="1"/>
      <c r="U10" s="1"/>
      <c r="V10" s="1"/>
      <c r="W10" s="1"/>
      <c r="X10" s="1"/>
      <c r="Y10" s="1"/>
      <c r="Z10" s="1"/>
      <c r="AA10" s="1"/>
      <c r="AB10" s="1"/>
    </row>
    <row r="11" spans="1:28" ht="90" x14ac:dyDescent="0.2">
      <c r="A11" s="1"/>
      <c r="B11" s="10"/>
      <c r="C11" s="199"/>
      <c r="D11" s="197"/>
      <c r="E11" s="13" t="s">
        <v>3</v>
      </c>
      <c r="F11" s="5"/>
      <c r="G11" s="1"/>
      <c r="H11" s="1"/>
      <c r="I11" s="1"/>
      <c r="J11" s="1"/>
      <c r="K11" s="1"/>
      <c r="L11" s="1"/>
      <c r="M11" s="1"/>
      <c r="N11" s="1"/>
      <c r="O11" s="1"/>
      <c r="P11" s="1"/>
      <c r="Q11" s="1"/>
      <c r="R11" s="1"/>
      <c r="S11" s="1"/>
      <c r="T11" s="1"/>
      <c r="U11" s="1"/>
      <c r="V11" s="1"/>
      <c r="W11" s="1"/>
      <c r="X11" s="1"/>
      <c r="Y11" s="1"/>
      <c r="Z11" s="1"/>
      <c r="AA11" s="1"/>
      <c r="AB11" s="1"/>
    </row>
    <row r="12" spans="1:28" ht="303" customHeight="1" x14ac:dyDescent="0.2">
      <c r="A12" s="1"/>
      <c r="B12" s="14"/>
      <c r="C12" s="200"/>
      <c r="D12" s="201"/>
      <c r="E12" s="202"/>
      <c r="F12" s="15"/>
      <c r="G12" s="1"/>
      <c r="H12" s="1"/>
      <c r="I12" s="1"/>
      <c r="J12" s="1"/>
      <c r="K12" s="1"/>
      <c r="L12" s="1"/>
      <c r="M12" s="1"/>
      <c r="N12" s="1"/>
      <c r="O12" s="1"/>
      <c r="P12" s="1"/>
      <c r="Q12" s="1"/>
      <c r="R12" s="1"/>
      <c r="S12" s="1"/>
      <c r="T12" s="1"/>
      <c r="U12" s="1"/>
      <c r="V12" s="1"/>
      <c r="W12" s="1"/>
      <c r="X12" s="1"/>
      <c r="Y12" s="1"/>
      <c r="Z12" s="1"/>
      <c r="AA12" s="1"/>
      <c r="AB12" s="1"/>
    </row>
    <row r="13" spans="1:28" ht="13" x14ac:dyDescent="0.15">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row>
    <row r="14" spans="1:28" ht="13" x14ac:dyDescent="0.1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row>
    <row r="15" spans="1:28" ht="13" x14ac:dyDescent="0.1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row>
    <row r="16" spans="1:28" ht="13" x14ac:dyDescent="0.1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row>
    <row r="17" spans="1:28" ht="13" x14ac:dyDescent="0.1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row>
    <row r="18" spans="1:28" ht="13" x14ac:dyDescent="0.1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row>
    <row r="19" spans="1:28" ht="13" x14ac:dyDescent="0.1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row>
    <row r="20" spans="1:28" ht="13" x14ac:dyDescent="0.1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row>
    <row r="21" spans="1:28" ht="13" x14ac:dyDescent="0.1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row>
    <row r="22" spans="1:28" ht="13" x14ac:dyDescent="0.1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row>
    <row r="23" spans="1:28" ht="13" x14ac:dyDescent="0.1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row>
    <row r="24" spans="1:28" ht="13" x14ac:dyDescent="0.1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row>
    <row r="25" spans="1:28" ht="13" x14ac:dyDescent="0.1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row>
    <row r="26" spans="1:28" ht="13" x14ac:dyDescent="0.1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row>
    <row r="27" spans="1:28" ht="13" x14ac:dyDescent="0.1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row>
    <row r="28" spans="1:28" ht="13" x14ac:dyDescent="0.1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row>
    <row r="29" spans="1:28" ht="13" x14ac:dyDescent="0.1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row>
    <row r="30" spans="1:28" ht="13" x14ac:dyDescent="0.1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row>
    <row r="31" spans="1:28" ht="13" x14ac:dyDescent="0.1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row>
    <row r="32" spans="1:28" ht="13" x14ac:dyDescent="0.1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row>
    <row r="33" spans="1:28" ht="13" x14ac:dyDescent="0.1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row>
    <row r="34" spans="1:28" ht="13"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row>
    <row r="35" spans="1:28" ht="13"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row>
    <row r="36" spans="1:28" ht="13"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row>
    <row r="37" spans="1:28" ht="13"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row>
    <row r="38" spans="1:28" ht="13"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row>
    <row r="39" spans="1:28" ht="13"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row>
    <row r="40" spans="1:28" ht="13"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row>
    <row r="41" spans="1:28" ht="13"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row>
    <row r="42" spans="1:28" ht="13"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row>
    <row r="43" spans="1:28" ht="13"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row>
    <row r="44" spans="1:28" ht="13"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row>
    <row r="45" spans="1:28" ht="13"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row>
    <row r="46" spans="1:28" ht="13"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row>
    <row r="47" spans="1:28" ht="13"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row>
    <row r="48" spans="1:28" ht="13"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row>
    <row r="49" spans="1:28" ht="13"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row>
    <row r="50" spans="1:28" ht="13"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row>
    <row r="51" spans="1:28" ht="13"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row>
    <row r="52" spans="1:28" ht="13"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row>
    <row r="53" spans="1:28" ht="13"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row>
    <row r="54" spans="1:28" ht="13"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row>
    <row r="55" spans="1:28" ht="13"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row>
    <row r="56" spans="1:28" ht="13"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row>
    <row r="57" spans="1:28" ht="13"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row>
    <row r="58" spans="1:28" ht="13"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row>
    <row r="59" spans="1:28" ht="13"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row>
    <row r="60" spans="1:28" ht="13"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row>
    <row r="61" spans="1:28" ht="13"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row>
    <row r="62" spans="1:28" ht="13"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row>
    <row r="63" spans="1:28" ht="13"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row>
    <row r="64" spans="1:28" ht="13"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row>
    <row r="65" spans="1:28" ht="13"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row>
    <row r="66" spans="1:28" ht="13"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row>
    <row r="67" spans="1:28" ht="13"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row>
    <row r="68" spans="1:28" ht="13"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row>
    <row r="69" spans="1:28" ht="13"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row>
    <row r="70" spans="1:28" ht="13"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row>
    <row r="71" spans="1:28" ht="13"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row>
    <row r="72" spans="1:28" ht="13"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row>
    <row r="73" spans="1:28" ht="13"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row>
    <row r="74" spans="1:28" ht="13"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row>
    <row r="75" spans="1:28" ht="13"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row>
    <row r="76" spans="1:28" ht="13"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row>
    <row r="77" spans="1:28" ht="13"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row>
    <row r="78" spans="1:28" ht="13"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row>
    <row r="79" spans="1:28" ht="13"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row>
    <row r="80" spans="1:28" ht="13"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row>
    <row r="81" spans="1:28" ht="13"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1:28" ht="13"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28" ht="13"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row>
    <row r="84" spans="1:28" ht="13"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row>
    <row r="85" spans="1:28" ht="13"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row>
    <row r="86" spans="1:28" ht="13"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row>
    <row r="87" spans="1:28" ht="13"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row>
    <row r="88" spans="1:28" ht="13"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row>
    <row r="89" spans="1:28" ht="13"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row>
    <row r="90" spans="1:28" ht="13"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row>
    <row r="91" spans="1:28" ht="13"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row>
    <row r="92" spans="1:28" ht="13"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row>
    <row r="93" spans="1:28" ht="13"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row>
    <row r="94" spans="1:28" ht="13"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row>
    <row r="95" spans="1:28" ht="13"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row>
    <row r="96" spans="1:28" ht="13"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row>
    <row r="97" spans="1:28" ht="13"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row>
    <row r="98" spans="1:28" ht="13"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row>
    <row r="99" spans="1:28" ht="13"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row>
    <row r="100" spans="1:28" ht="13"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row>
    <row r="101" spans="1:28" ht="13"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row>
    <row r="102" spans="1:28" ht="13"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row>
    <row r="103" spans="1:28" ht="13"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row>
    <row r="104" spans="1:28" ht="13"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row>
    <row r="105" spans="1:28" ht="13"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row>
    <row r="106" spans="1:28" ht="13"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row>
    <row r="107" spans="1:28" ht="13"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1:28" ht="13"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ht="13"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ht="13"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1:28" ht="13"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ht="13"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1:28" ht="13"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ht="13"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ht="13"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ht="13"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ht="13"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ht="13"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ht="13"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ht="13"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ht="13"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ht="13"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ht="13"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ht="13"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ht="13"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ht="13"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ht="13"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ht="13"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ht="13"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ht="13"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ht="13"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ht="13"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ht="13"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ht="13"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ht="13"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ht="13"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ht="13"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ht="13"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ht="13"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ht="13"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ht="13"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ht="13"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ht="13"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ht="13"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ht="13"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ht="13"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ht="13"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ht="13"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ht="13"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ht="13"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ht="13"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ht="13"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ht="13"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ht="13"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ht="13"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ht="13"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ht="13"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ht="13"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ht="13"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ht="13"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ht="13"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ht="13"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3"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3"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3"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3"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3"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3"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3"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3"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3"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3"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3"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3"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3"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3"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3"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3"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3"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3"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3"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3"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3"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3"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3"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3"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3"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3"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3"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3"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3"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3"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3"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3"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3"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3"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3"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3"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3"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3"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3"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3"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3"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3"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3"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3"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3"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3"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3"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3"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3"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3"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3"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3"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3"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3"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3"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3"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3"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3"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3"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3"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3"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3"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3"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3"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3"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3"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3"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3"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3"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3"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3"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3"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3"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3"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3"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3"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3"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3"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3"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3"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3"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3"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3"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3"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3"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3"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3"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3"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3"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3"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3"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3"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3"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3"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3"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3"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3"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3"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3"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3"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3"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3"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3"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3"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3"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3"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3"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3"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3"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3"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3"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3"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3"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3"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3"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3"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3"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3"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3"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3"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3"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3"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3"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3"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3"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3"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3"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3"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3"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3"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3"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3"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3"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3"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3"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3"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3"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3"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3"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3"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3"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3"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3"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3"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3"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3"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3"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3"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3"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3"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3"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3"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3"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3"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3"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3"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3"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3"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3"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3"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3"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3"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3"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3"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3"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3"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3"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3"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3"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3"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3"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3"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3"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3"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3"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3"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3"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3"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3"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3"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3"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3"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3"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3"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3"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3"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3"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3"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3"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3"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3"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3"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3"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3"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3"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3"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3"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3"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3"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3"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3"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3"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3"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3"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3"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3"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3"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3"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3"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3"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3"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3"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3"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3"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3"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3"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3"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3"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3"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3"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3"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3"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3"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3"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3"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3"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3"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3"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3"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3"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3"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3"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3"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3"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3"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3"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3"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3"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3"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3"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3"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3"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3"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3"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3"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3"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3"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3"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3"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3"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3"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3"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3"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3"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3"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3"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3"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3"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3"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3"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3"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3"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3"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3"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3"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3"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3"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3"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3"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3"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3"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3"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3"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3"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3"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3"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3"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3"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3"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3"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3"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3"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3"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3"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3"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3"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3"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3"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3"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3"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3"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3"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3"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3"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3"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3"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3"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3"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3"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3"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3"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3"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3"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3"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3"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3"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3"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3"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3"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3"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3"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3"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3"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3"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3"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3"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3"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3"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3"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3"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3"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3"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3"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3"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3"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3"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3"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3"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3"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3"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3"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3"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3"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3"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3"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3"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3"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3"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3"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3"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3"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3"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3"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3"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3"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3"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3"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3"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3"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3"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3"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3"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3"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3"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3"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3"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3"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3"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3"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3"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3"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3"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3"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3"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3"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3"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3"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3"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3"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3"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3"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3"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3"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3"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3"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3"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3"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3"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3"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3"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3"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3"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3"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3"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3"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3"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3"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3"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3"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3"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3"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3"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3"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3"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3"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3"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3"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3"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3"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3"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3"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3"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3"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3"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3"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3"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3"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3"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3"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3"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3"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3"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3"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3"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3"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3"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3"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3"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3"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3"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3"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3"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3"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3"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3"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3"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3"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3"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3"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3"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3"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3"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3"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3"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3"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3"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3"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3"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3"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3"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3"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3"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3"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3"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3"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3"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3"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3"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3"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3"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3"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3"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3"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3"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3"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3"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3"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3"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3"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3"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3"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3"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3"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3"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3"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3"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3"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3"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3"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3"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3"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3"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3"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3"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3"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3"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3"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3"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3"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3"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3"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3"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3"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3"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3"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3"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3"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3"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3"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3"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3"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3"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3"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3"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3"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3"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3"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3"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3"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3"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3"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3"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3"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3"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3"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3"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3"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3"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3"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3"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3"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3"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3"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3"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3"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3"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3"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3"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3"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3"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3"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3"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3"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3"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3"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3"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3"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3"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3"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3"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3"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3"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3"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3"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3"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3"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3"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3"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3"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3"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3"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3"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3"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3"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3"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3"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3"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3"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3"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3"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3"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3"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3"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3"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3"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3"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3"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3"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3"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3"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3"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3"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3"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3"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3"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3"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3"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3"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3"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3"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3"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3"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3"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3"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3"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3"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3"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3"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3"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3"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3"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3"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3"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3"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3"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3"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3"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3"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3"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3"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3"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3"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3"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3"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3"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3"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3"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3"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3"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3"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3"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3"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3"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3"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3"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3"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3"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3"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3"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3"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3"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3"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3"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3"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3"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3"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3"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3"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3"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3"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3"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3"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3"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3"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3"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3"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3"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3"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3"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3"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3"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3"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3"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3"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3"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3"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3"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3"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3"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3"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3"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3"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3"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3"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3"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3"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3"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3"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3"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3"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3"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3"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3"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3"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3"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3"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3"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3"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3"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3"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3"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3"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3"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3"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3"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3"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3"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3"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3"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3"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3"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3"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3"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3"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3"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3"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3"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3"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3"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3"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3"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3"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3"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3"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3"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3"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3"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3"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3"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3"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3"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3"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3"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3"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3"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3"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3"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3"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3"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3"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3"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3"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3"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3"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3"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3"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3"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3"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3"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3"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3"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3"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3"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3"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3"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3"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3"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3"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3"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3"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3"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3"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3"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3"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3"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3"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3"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3"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3"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3"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3"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3"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3"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3"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3"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3"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3"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3"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3"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3"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3"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3"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3"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3"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3"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3"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3"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3"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3"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3"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3"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3"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3"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3"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3"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3"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3"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3"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3"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3"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3"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3"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3"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3"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3"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3"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3"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3"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3"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3"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3"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3"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3"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3"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3"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3"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3"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3"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3"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3"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3"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3"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3"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3"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3"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3"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3"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3"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3"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3"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3"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3"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3"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3"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3"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3"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3"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3"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3"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3"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3"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3"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3"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3"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3"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3"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3"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3"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3"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3"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3"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3"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3"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3"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3"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3"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3"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3"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3"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3"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3"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3"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3"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3"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3"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3"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3"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3"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3"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3"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row r="993" spans="1:28" ht="13"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row>
    <row r="994" spans="1:28" ht="13"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row>
    <row r="995" spans="1:28" ht="13"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row>
    <row r="996" spans="1:28" ht="13"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row>
    <row r="997" spans="1:28" ht="13"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row>
    <row r="998" spans="1:28" ht="13"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row>
    <row r="999" spans="1:28" ht="13"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row>
    <row r="1000" spans="1:28" ht="13"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row>
    <row r="1001" spans="1:28" ht="13"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row>
    <row r="1002" spans="1:28" ht="13"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row>
    <row r="1003" spans="1:28" ht="13"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row>
    <row r="1004" spans="1:28" ht="13"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row>
    <row r="1005" spans="1:28" ht="13"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row>
  </sheetData>
  <mergeCells count="5">
    <mergeCell ref="B2:F2"/>
    <mergeCell ref="C4:E4"/>
    <mergeCell ref="C5:E5"/>
    <mergeCell ref="C6:E6"/>
    <mergeCell ref="C11:C12"/>
  </mergeCells>
  <hyperlinks>
    <hyperlink ref="C8" location="'Table of Contents'!B1:E1" display="_x000a_Go to the Table of Contents tab for a list of the 27 competencies most frequently requested by LinkedIn Learning customers. _x000a__x000a_In this tab you'll find the following:_x000a__x000a_•Each competency title contains a hyperlink that will navigate you to it's respecive tab_x000a_" xr:uid="{00000000-0004-0000-0000-000000000000}"/>
    <hyperlink ref="E8" location="'Competency Learning Paths'!B1:K1" display="_x000a_Go to the Competency Learning Paths tab for a list of custom created Learning Paths that align with our topmost requested competencies._x000a__x000a_In this tab you'll find the following:_x000a_• Learning Path titles contain embeded links_x000a_• A description of the skills with which it will equip the learner_x000a_• Our Competency Learning Paths are tailored for the general audience" xr:uid="{00000000-0004-0000-0000-000001000000}"/>
  </hyperlinks>
  <printOptions horizontalCentered="1" gridLines="1"/>
  <pageMargins left="0.7" right="0.7" top="0.75" bottom="0.75" header="0" footer="0"/>
  <pageSetup paperSize="5" fitToHeight="0" pageOrder="overThenDown" orientation="landscape" cellComments="atEnd"/>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C9DAF8"/>
    <outlinePr summaryBelow="0" summaryRight="0"/>
  </sheetPr>
  <dimension ref="A1:V599"/>
  <sheetViews>
    <sheetView showGridLines="0" workbookViewId="0">
      <pane ySplit="4" topLeftCell="A5" activePane="bottomLeft" state="frozen"/>
      <selection pane="bottomLeft" activeCell="F19" sqref="F19"/>
    </sheetView>
  </sheetViews>
  <sheetFormatPr baseColWidth="10" defaultColWidth="14.5" defaultRowHeight="15.75" customHeight="1" outlineLevelRow="1" x14ac:dyDescent="0.15"/>
  <cols>
    <col min="1" max="2" width="0.6640625" customWidth="1"/>
    <col min="3" max="3" width="13.5" customWidth="1"/>
    <col min="4" max="4" width="18" customWidth="1"/>
    <col min="5" max="5" width="36.83203125" customWidth="1"/>
    <col min="6" max="6" width="37.5" customWidth="1"/>
    <col min="7" max="9" width="0.6640625" customWidth="1"/>
    <col min="10" max="10" width="13.5" customWidth="1"/>
    <col min="11" max="11" width="18" customWidth="1"/>
    <col min="12" max="12" width="36.83203125" customWidth="1"/>
    <col min="13" max="13" width="37.5" customWidth="1"/>
    <col min="14" max="16" width="0.6640625" customWidth="1"/>
    <col min="17" max="17" width="13.5" customWidth="1"/>
    <col min="18" max="18" width="18" customWidth="1"/>
    <col min="19" max="19" width="36.83203125" customWidth="1"/>
    <col min="20" max="20" width="37.5" customWidth="1"/>
    <col min="21" max="22" width="0.6640625" customWidth="1"/>
  </cols>
  <sheetData>
    <row r="1" spans="1:22" ht="27.75" customHeight="1" outlineLevel="1" x14ac:dyDescent="0.15">
      <c r="A1" s="127"/>
      <c r="B1" s="127"/>
      <c r="C1" s="188" t="s">
        <v>890</v>
      </c>
      <c r="D1" s="160"/>
      <c r="E1" s="160"/>
      <c r="F1" s="160"/>
      <c r="G1" s="127"/>
      <c r="H1" s="127"/>
      <c r="I1" s="127"/>
      <c r="J1" s="188" t="s">
        <v>921</v>
      </c>
      <c r="K1" s="160"/>
      <c r="L1" s="160"/>
      <c r="M1" s="160"/>
      <c r="N1" s="127"/>
      <c r="O1" s="127"/>
      <c r="P1" s="127"/>
      <c r="Q1" s="188" t="s">
        <v>981</v>
      </c>
      <c r="R1" s="160"/>
      <c r="S1" s="160"/>
      <c r="T1" s="160"/>
      <c r="U1" s="127"/>
      <c r="V1" s="127"/>
    </row>
    <row r="2" spans="1:22" ht="17" outlineLevel="1" x14ac:dyDescent="0.15">
      <c r="A2" s="128"/>
      <c r="B2" s="128"/>
      <c r="C2" s="186" t="s">
        <v>1407</v>
      </c>
      <c r="D2" s="160"/>
      <c r="E2" s="160"/>
      <c r="F2" s="160"/>
      <c r="G2" s="128"/>
      <c r="H2" s="128"/>
      <c r="I2" s="128"/>
      <c r="J2" s="186" t="s">
        <v>1407</v>
      </c>
      <c r="K2" s="160"/>
      <c r="L2" s="160"/>
      <c r="M2" s="160"/>
      <c r="N2" s="128"/>
      <c r="O2" s="128"/>
      <c r="P2" s="128"/>
      <c r="Q2" s="186" t="s">
        <v>1407</v>
      </c>
      <c r="R2" s="160"/>
      <c r="S2" s="160"/>
      <c r="T2" s="160"/>
      <c r="U2" s="128"/>
      <c r="V2" s="128"/>
    </row>
    <row r="3" spans="1:22" ht="50" customHeight="1" outlineLevel="1" x14ac:dyDescent="0.15">
      <c r="A3" s="129"/>
      <c r="B3" s="129"/>
      <c r="C3" s="187" t="str">
        <f ca="1">IFERROR(__xludf.DUMMYFUNCTION("IFERROR(UNIQUE(FILTER('Competency Learning Paths'!N:N,'Competency Learning Paths'!A:A= C1)))"),"Change Leadership, Innovation Management, Managing Change, Facilitating Change")</f>
        <v>Change Leadership, Innovation Management, Managing Change, Facilitating Change</v>
      </c>
      <c r="D3" s="160"/>
      <c r="E3" s="160"/>
      <c r="F3" s="160"/>
      <c r="G3" s="129"/>
      <c r="H3" s="129"/>
      <c r="I3" s="129"/>
      <c r="J3" s="187" t="str">
        <f ca="1">IFERROR(__xludf.DUMMYFUNCTION("IFERROR(UNIQUE(FILTER('Competency Learning Paths'!N:N,'Competency Learning Paths'!A:A= J1)))"),"Leadership, Leading People, Inspiring Others, Leading Through Vision and Values")</f>
        <v>Leadership, Leading People, Inspiring Others, Leading Through Vision and Values</v>
      </c>
      <c r="K3" s="160"/>
      <c r="L3" s="160"/>
      <c r="M3" s="160"/>
      <c r="N3" s="129"/>
      <c r="O3" s="129"/>
      <c r="P3" s="129"/>
      <c r="Q3" s="187" t="str">
        <f ca="1">IFERROR(__xludf.DUMMYFUNCTION("IFERROR(UNIQUE(FILTER('Competency Learning Paths'!N:N,'Competency Learning Paths'!A:A= Q1)))"),"Directing Others, Directs Work, Managing Others, Delegation, Delegating Responsibility, Managing Direct Reports, Managerial Courage, Managing and Measuring Work, Command Skills, Follow Up ")</f>
        <v xml:space="preserve">Directing Others, Directs Work, Managing Others, Delegation, Delegating Responsibility, Managing Direct Reports, Managerial Courage, Managing and Measuring Work, Command Skills, Follow Up </v>
      </c>
      <c r="R3" s="160"/>
      <c r="S3" s="160"/>
      <c r="T3" s="160"/>
      <c r="U3" s="129"/>
      <c r="V3" s="129"/>
    </row>
    <row r="4" spans="1:22" ht="16" outlineLevel="1" x14ac:dyDescent="0.15">
      <c r="A4" s="130"/>
      <c r="B4" s="131"/>
      <c r="C4" s="132" t="str">
        <f ca="1">IFERROR(__xludf.DUMMYFUNCTION("FILTER('All Competencies'!B:B,'All Competencies'!A:A=C1)"),"Course IDs")</f>
        <v>Course IDs</v>
      </c>
      <c r="D4" s="132" t="str">
        <f ca="1">IFERROR(__xludf.DUMMYFUNCTION("FILTER('All Competencies'!C:C,'All Competencies'!A:A=C1)"),"Level")</f>
        <v>Level</v>
      </c>
      <c r="E4" s="132" t="str">
        <f ca="1">IFERROR(__xludf.DUMMYFUNCTION("FILTER('All Competencies'!D:D,'All Competencies'!A:A=C1)"),"Courses")</f>
        <v>Courses</v>
      </c>
      <c r="F4" s="132" t="str">
        <f ca="1">IFERROR(__xludf.DUMMYFUNCTION("FILTER('All Competencies'!E:E,'All Competencies'!A:A=C1)"),"Learning Paths")</f>
        <v>Learning Paths</v>
      </c>
      <c r="G4" s="133"/>
      <c r="H4" s="131"/>
      <c r="I4" s="130"/>
      <c r="J4" s="132" t="str">
        <f ca="1">IFERROR(__xludf.DUMMYFUNCTION("FILTER('All Competencies'!B:B,'All Competencies'!A:A=J1)"),"Course IDs")</f>
        <v>Course IDs</v>
      </c>
      <c r="K4" s="132" t="str">
        <f ca="1">IFERROR(__xludf.DUMMYFUNCTION("FILTER('All Competencies'!C:C,'All Competencies'!A:A=J1)"),"Level")</f>
        <v>Level</v>
      </c>
      <c r="L4" s="132" t="str">
        <f ca="1">IFERROR(__xludf.DUMMYFUNCTION("FILTER('All Competencies'!D:D,'All Competencies'!A:A=J1)"),"Courses")</f>
        <v>Courses</v>
      </c>
      <c r="M4" s="132" t="str">
        <f ca="1">IFERROR(__xludf.DUMMYFUNCTION("FILTER('All Competencies'!E:E,'All Competencies'!A:A=J1)"),"Learning Paths")</f>
        <v>Learning Paths</v>
      </c>
      <c r="N4" s="133"/>
      <c r="O4" s="131"/>
      <c r="P4" s="130"/>
      <c r="Q4" s="132" t="str">
        <f ca="1">IFERROR(__xludf.DUMMYFUNCTION("FILTER('All Competencies'!B:B,'All Competencies'!A:A=Q1)"),"Course IDs")</f>
        <v>Course IDs</v>
      </c>
      <c r="R4" s="132" t="str">
        <f ca="1">IFERROR(__xludf.DUMMYFUNCTION("FILTER('All Competencies'!C:C,'All Competencies'!A:A=Q1)"),"Level")</f>
        <v>Level</v>
      </c>
      <c r="S4" s="132" t="str">
        <f ca="1">IFERROR(__xludf.DUMMYFUNCTION("FILTER('All Competencies'!D:D,'All Competencies'!A:A=Q1)"),"Courses")</f>
        <v>Courses</v>
      </c>
      <c r="T4" s="132" t="str">
        <f ca="1">IFERROR(__xludf.DUMMYFUNCTION("FILTER('All Competencies'!E:E,'All Competencies'!A:A=Q1)"),"Learning Paths")</f>
        <v>Learning Paths</v>
      </c>
      <c r="U4" s="133"/>
      <c r="V4" s="130"/>
    </row>
    <row r="5" spans="1:22" ht="33.75" customHeight="1" x14ac:dyDescent="0.15">
      <c r="A5" s="134"/>
      <c r="B5" s="134"/>
      <c r="C5" s="135">
        <f ca="1">IFERROR(__xludf.DUMMYFUNCTION("""COMPUTED_VALUE"""),689761)</f>
        <v>689761</v>
      </c>
      <c r="D5" s="135" t="str">
        <f ca="1">IFERROR(__xludf.DUMMYFUNCTION("""COMPUTED_VALUE"""),"Advanced")</f>
        <v>Advanced</v>
      </c>
      <c r="E5" s="136" t="str">
        <f ca="1">IFERROR(__xludf.DUMMYFUNCTION("""COMPUTED_VALUE"""),"Creating a Culture of Change")</f>
        <v>Creating a Culture of Change</v>
      </c>
      <c r="F5" s="137" t="str">
        <f ca="1">IFERROR(__xludf.DUMMYFUNCTION("""COMPUTED_VALUE"""),"Leading During Times of Change")</f>
        <v>Leading During Times of Change</v>
      </c>
      <c r="G5" s="134"/>
      <c r="H5" s="134"/>
      <c r="I5" s="134"/>
      <c r="J5" s="135">
        <f ca="1">IFERROR(__xludf.DUMMYFUNCTION("""COMPUTED_VALUE"""),2806194)</f>
        <v>2806194</v>
      </c>
      <c r="K5" s="135" t="str">
        <f ca="1">IFERROR(__xludf.DUMMYFUNCTION("""COMPUTED_VALUE"""),"Advanced")</f>
        <v>Advanced</v>
      </c>
      <c r="L5" s="136" t="str">
        <f ca="1">IFERROR(__xludf.DUMMYFUNCTION("""COMPUTED_VALUE"""),"Counterintuitive Leadership Strategies for a VUCA (Volatile, Uncertain, Complex, Ambiguous) Environment")</f>
        <v>Counterintuitive Leadership Strategies for a VUCA (Volatile, Uncertain, Complex, Ambiguous) Environment</v>
      </c>
      <c r="M5" s="137" t="str">
        <f ca="1">IFERROR(__xludf.DUMMYFUNCTION("""COMPUTED_VALUE"""),"Leading Others Effectively")</f>
        <v>Leading Others Effectively</v>
      </c>
      <c r="N5" s="134"/>
      <c r="O5" s="134"/>
      <c r="P5" s="134"/>
      <c r="Q5" s="135">
        <f ca="1">IFERROR(__xludf.DUMMYFUNCTION("""COMPUTED_VALUE"""),574670)</f>
        <v>574670</v>
      </c>
      <c r="R5" s="135" t="str">
        <f ca="1">IFERROR(__xludf.DUMMYFUNCTION("""COMPUTED_VALUE"""),"Advanced")</f>
        <v>Advanced</v>
      </c>
      <c r="S5" s="136" t="str">
        <f ca="1">IFERROR(__xludf.DUMMYFUNCTION("""COMPUTED_VALUE"""),"Creating a High Performance Culture")</f>
        <v>Creating a High Performance Culture</v>
      </c>
      <c r="T5" s="137" t="str">
        <f ca="1">IFERROR(__xludf.DUMMYFUNCTION("""COMPUTED_VALUE"""),"Managing Others Effectively ")</f>
        <v xml:space="preserve">Managing Others Effectively </v>
      </c>
      <c r="U5" s="134"/>
      <c r="V5" s="134"/>
    </row>
    <row r="6" spans="1:22" ht="33.75" customHeight="1" x14ac:dyDescent="0.15">
      <c r="A6" s="134"/>
      <c r="B6" s="134"/>
      <c r="C6" s="138">
        <f ca="1">IFERROR(__xludf.DUMMYFUNCTION("""COMPUTED_VALUE"""),758617)</f>
        <v>758617</v>
      </c>
      <c r="D6" s="138" t="str">
        <f ca="1">IFERROR(__xludf.DUMMYFUNCTION("""COMPUTED_VALUE"""),"Advanced")</f>
        <v>Advanced</v>
      </c>
      <c r="E6" s="139" t="str">
        <f ca="1">IFERROR(__xludf.DUMMYFUNCTION("""COMPUTED_VALUE"""),"Leading Change")</f>
        <v>Leading Change</v>
      </c>
      <c r="F6" s="140" t="str">
        <f ca="1">IFERROR(__xludf.DUMMYFUNCTION("""COMPUTED_VALUE"""),"Become a Thought Leader")</f>
        <v>Become a Thought Leader</v>
      </c>
      <c r="G6" s="134"/>
      <c r="H6" s="134"/>
      <c r="I6" s="134"/>
      <c r="J6" s="138">
        <f ca="1">IFERROR(__xludf.DUMMYFUNCTION("""COMPUTED_VALUE"""),758617)</f>
        <v>758617</v>
      </c>
      <c r="K6" s="138" t="str">
        <f ca="1">IFERROR(__xludf.DUMMYFUNCTION("""COMPUTED_VALUE"""),"Advanced")</f>
        <v>Advanced</v>
      </c>
      <c r="L6" s="139" t="str">
        <f ca="1">IFERROR(__xludf.DUMMYFUNCTION("""COMPUTED_VALUE"""),"Leading Change")</f>
        <v>Leading Change</v>
      </c>
      <c r="M6" s="140" t="str">
        <f ca="1">IFERROR(__xludf.DUMMYFUNCTION("""COMPUTED_VALUE"""),"Become a Leader")</f>
        <v>Become a Leader</v>
      </c>
      <c r="N6" s="134"/>
      <c r="O6" s="134"/>
      <c r="P6" s="134"/>
      <c r="Q6" s="138">
        <f ca="1">IFERROR(__xludf.DUMMYFUNCTION("""COMPUTED_VALUE"""),2823247)</f>
        <v>2823247</v>
      </c>
      <c r="R6" s="138" t="str">
        <f ca="1">IFERROR(__xludf.DUMMYFUNCTION("""COMPUTED_VALUE"""),"Advanced")</f>
        <v>Advanced</v>
      </c>
      <c r="S6" s="139" t="str">
        <f ca="1">IFERROR(__xludf.DUMMYFUNCTION("""COMPUTED_VALUE"""),"Foundations of Performance Management")</f>
        <v>Foundations of Performance Management</v>
      </c>
      <c r="T6" s="140" t="str">
        <f ca="1">IFERROR(__xludf.DUMMYFUNCTION("""COMPUTED_VALUE"""),"Advance Your Skills as a Manager")</f>
        <v>Advance Your Skills as a Manager</v>
      </c>
      <c r="U6" s="134"/>
      <c r="V6" s="134"/>
    </row>
    <row r="7" spans="1:22" ht="33.75" customHeight="1" x14ac:dyDescent="0.15">
      <c r="A7" s="134"/>
      <c r="B7" s="134"/>
      <c r="C7" s="138">
        <f ca="1">IFERROR(__xludf.DUMMYFUNCTION("""COMPUTED_VALUE"""),602861)</f>
        <v>602861</v>
      </c>
      <c r="D7" s="138" t="str">
        <f ca="1">IFERROR(__xludf.DUMMYFUNCTION("""COMPUTED_VALUE"""),"Advanced")</f>
        <v>Advanced</v>
      </c>
      <c r="E7" s="139" t="str">
        <f ca="1">IFERROR(__xludf.DUMMYFUNCTION("""COMPUTED_VALUE"""),"Strategic Agility")</f>
        <v>Strategic Agility</v>
      </c>
      <c r="F7" s="140" t="str">
        <f ca="1">IFERROR(__xludf.DUMMYFUNCTION("""COMPUTED_VALUE"""),"Digital Transformation for Leaders")</f>
        <v>Digital Transformation for Leaders</v>
      </c>
      <c r="G7" s="134"/>
      <c r="H7" s="134"/>
      <c r="I7" s="134"/>
      <c r="J7" s="138">
        <f ca="1">IFERROR(__xludf.DUMMYFUNCTION("""COMPUTED_VALUE"""),685023)</f>
        <v>685023</v>
      </c>
      <c r="K7" s="138" t="str">
        <f ca="1">IFERROR(__xludf.DUMMYFUNCTION("""COMPUTED_VALUE"""),"Advanced")</f>
        <v>Advanced</v>
      </c>
      <c r="L7" s="139" t="str">
        <f ca="1">IFERROR(__xludf.DUMMYFUNCTION("""COMPUTED_VALUE"""),"Leading with Vision")</f>
        <v>Leading with Vision</v>
      </c>
      <c r="M7" s="140" t="str">
        <f ca="1">IFERROR(__xludf.DUMMYFUNCTION("""COMPUTED_VALUE"""),"Become a Thought Leader")</f>
        <v>Become a Thought Leader</v>
      </c>
      <c r="N7" s="134"/>
      <c r="O7" s="134"/>
      <c r="P7" s="134"/>
      <c r="Q7" s="138">
        <f ca="1">IFERROR(__xludf.DUMMYFUNCTION("""COMPUTED_VALUE"""),647657)</f>
        <v>647657</v>
      </c>
      <c r="R7" s="138" t="str">
        <f ca="1">IFERROR(__xludf.DUMMYFUNCTION("""COMPUTED_VALUE"""),"Beginner")</f>
        <v>Beginner</v>
      </c>
      <c r="S7" s="139" t="str">
        <f ca="1">IFERROR(__xludf.DUMMYFUNCTION("""COMPUTED_VALUE"""),"Boosting Your Team's Productivity")</f>
        <v>Boosting Your Team's Productivity</v>
      </c>
      <c r="T7" s="140" t="str">
        <f ca="1">IFERROR(__xludf.DUMMYFUNCTION("""COMPUTED_VALUE"""),"Become a Manager")</f>
        <v>Become a Manager</v>
      </c>
      <c r="U7" s="134"/>
      <c r="V7" s="134"/>
    </row>
    <row r="8" spans="1:22" ht="45" x14ac:dyDescent="0.15">
      <c r="A8" s="134"/>
      <c r="B8" s="134"/>
      <c r="C8" s="138">
        <f ca="1">IFERROR(__xludf.DUMMYFUNCTION("""COMPUTED_VALUE"""),2806194)</f>
        <v>2806194</v>
      </c>
      <c r="D8" s="138" t="str">
        <f ca="1">IFERROR(__xludf.DUMMYFUNCTION("""COMPUTED_VALUE"""),"Advanced")</f>
        <v>Advanced</v>
      </c>
      <c r="E8" s="139" t="str">
        <f ca="1">IFERROR(__xludf.DUMMYFUNCTION("""COMPUTED_VALUE"""),"Counterintuitive Leadership Strategies for a VUCA (Volatile, Uncertain, Complex, Ambiguous) Environment")</f>
        <v>Counterintuitive Leadership Strategies for a VUCA (Volatile, Uncertain, Complex, Ambiguous) Environment</v>
      </c>
      <c r="F8" s="140" t="str">
        <f ca="1">IFERROR(__xludf.DUMMYFUNCTION("""COMPUTED_VALUE"""),"Digital Transformation for Tech Leaders")</f>
        <v>Digital Transformation for Tech Leaders</v>
      </c>
      <c r="G8" s="134"/>
      <c r="H8" s="134"/>
      <c r="I8" s="134"/>
      <c r="J8" s="138">
        <f ca="1">IFERROR(__xludf.DUMMYFUNCTION("""COMPUTED_VALUE"""),2809356)</f>
        <v>2809356</v>
      </c>
      <c r="K8" s="138" t="str">
        <f ca="1">IFERROR(__xludf.DUMMYFUNCTION("""COMPUTED_VALUE"""),"Advanced")</f>
        <v>Advanced</v>
      </c>
      <c r="L8" s="139" t="str">
        <f ca="1">IFERROR(__xludf.DUMMYFUNCTION("""COMPUTED_VALUE"""),"Sanyin Siang on Strategic Mentoring")</f>
        <v>Sanyin Siang on Strategic Mentoring</v>
      </c>
      <c r="M8" s="140" t="str">
        <f ca="1">IFERROR(__xludf.DUMMYFUNCTION("""COMPUTED_VALUE"""),"Become an Inclusive Leader")</f>
        <v>Become an Inclusive Leader</v>
      </c>
      <c r="N8" s="134"/>
      <c r="O8" s="134"/>
      <c r="P8" s="134"/>
      <c r="Q8" s="138">
        <f ca="1">IFERROR(__xludf.DUMMYFUNCTION("""COMPUTED_VALUE"""),693069)</f>
        <v>693069</v>
      </c>
      <c r="R8" s="138" t="str">
        <f ca="1">IFERROR(__xludf.DUMMYFUNCTION("""COMPUTED_VALUE"""),"Beginner")</f>
        <v>Beginner</v>
      </c>
      <c r="S8" s="139" t="str">
        <f ca="1">IFERROR(__xludf.DUMMYFUNCTION("""COMPUTED_VALUE"""),"Delegating Tasks")</f>
        <v>Delegating Tasks</v>
      </c>
      <c r="T8" s="140" t="str">
        <f ca="1">IFERROR(__xludf.DUMMYFUNCTION("""COMPUTED_VALUE"""),"Improve Your Coaching Skills as a Manager")</f>
        <v>Improve Your Coaching Skills as a Manager</v>
      </c>
      <c r="U8" s="134"/>
      <c r="V8" s="134"/>
    </row>
    <row r="9" spans="1:22" ht="33.75" customHeight="1" x14ac:dyDescent="0.15">
      <c r="A9" s="134"/>
      <c r="B9" s="134"/>
      <c r="C9" s="138">
        <f ca="1">IFERROR(__xludf.DUMMYFUNCTION("""COMPUTED_VALUE"""),2873074)</f>
        <v>2873074</v>
      </c>
      <c r="D9" s="138" t="str">
        <f ca="1">IFERROR(__xludf.DUMMYFUNCTION("""COMPUTED_VALUE"""),"Beginner")</f>
        <v>Beginner</v>
      </c>
      <c r="E9" s="139" t="str">
        <f ca="1">IFERROR(__xludf.DUMMYFUNCTION("""COMPUTED_VALUE"""),"Key Psychological Principles for Ethical Persuasion")</f>
        <v>Key Psychological Principles for Ethical Persuasion</v>
      </c>
      <c r="F9" s="140" t="str">
        <f ca="1">IFERROR(__xludf.DUMMYFUNCTION("""COMPUTED_VALUE"""),"Managing Change")</f>
        <v>Managing Change</v>
      </c>
      <c r="G9" s="134"/>
      <c r="H9" s="134"/>
      <c r="I9" s="134"/>
      <c r="J9" s="138">
        <f ca="1">IFERROR(__xludf.DUMMYFUNCTION("""COMPUTED_VALUE"""),2822090)</f>
        <v>2822090</v>
      </c>
      <c r="K9" s="138" t="str">
        <f ca="1">IFERROR(__xludf.DUMMYFUNCTION("""COMPUTED_VALUE"""),"Advanced")</f>
        <v>Advanced</v>
      </c>
      <c r="L9" s="139" t="str">
        <f ca="1">IFERROR(__xludf.DUMMYFUNCTION("""COMPUTED_VALUE"""),"Vision in Action: Leaders Live Case Studies")</f>
        <v>Vision in Action: Leaders Live Case Studies</v>
      </c>
      <c r="M9" s="140" t="str">
        <f ca="1">IFERROR(__xludf.DUMMYFUNCTION("""COMPUTED_VALUE"""),"Manager to Leader")</f>
        <v>Manager to Leader</v>
      </c>
      <c r="N9" s="134"/>
      <c r="O9" s="134"/>
      <c r="P9" s="134"/>
      <c r="Q9" s="138">
        <f ca="1">IFERROR(__xludf.DUMMYFUNCTION("""COMPUTED_VALUE"""),746303)</f>
        <v>746303</v>
      </c>
      <c r="R9" s="138" t="str">
        <f ca="1">IFERROR(__xludf.DUMMYFUNCTION("""COMPUTED_VALUE"""),"Beginner")</f>
        <v>Beginner</v>
      </c>
      <c r="S9" s="139" t="str">
        <f ca="1">IFERROR(__xludf.DUMMYFUNCTION("""COMPUTED_VALUE"""),"Having Difficult Conversations")</f>
        <v>Having Difficult Conversations</v>
      </c>
      <c r="T9" s="140" t="str">
        <f ca="1">IFERROR(__xludf.DUMMYFUNCTION("""COMPUTED_VALUE"""),"Become a Senior Manager")</f>
        <v>Become a Senior Manager</v>
      </c>
      <c r="U9" s="134"/>
      <c r="V9" s="134"/>
    </row>
    <row r="10" spans="1:22" ht="33.75" customHeight="1" x14ac:dyDescent="0.15">
      <c r="A10" s="134"/>
      <c r="B10" s="134"/>
      <c r="C10" s="138">
        <f ca="1">IFERROR(__xludf.DUMMYFUNCTION("""COMPUTED_VALUE"""),153123)</f>
        <v>153123</v>
      </c>
      <c r="D10" s="138" t="str">
        <f ca="1">IFERROR(__xludf.DUMMYFUNCTION("""COMPUTED_VALUE"""),"Beginner")</f>
        <v>Beginner</v>
      </c>
      <c r="E10" s="139" t="str">
        <f ca="1">IFERROR(__xludf.DUMMYFUNCTION("""COMPUTED_VALUE"""),"Business Innovation Foundations")</f>
        <v>Business Innovation Foundations</v>
      </c>
      <c r="F10" s="150" t="str">
        <f ca="1">IFERROR(__xludf.DUMMYFUNCTION("""COMPUTED_VALUE"""),"Women in Leadership")</f>
        <v>Women in Leadership</v>
      </c>
      <c r="G10" s="134"/>
      <c r="H10" s="134"/>
      <c r="I10" s="134"/>
      <c r="J10" s="138">
        <f ca="1">IFERROR(__xludf.DUMMYFUNCTION("""COMPUTED_VALUE"""),2833088)</f>
        <v>2833088</v>
      </c>
      <c r="K10" s="138" t="str">
        <f ca="1">IFERROR(__xludf.DUMMYFUNCTION("""COMPUTED_VALUE"""),"Advanced")</f>
        <v>Advanced</v>
      </c>
      <c r="L10" s="139" t="str">
        <f ca="1">IFERROR(__xludf.DUMMYFUNCTION("""COMPUTED_VALUE"""),"Using Emotions to Leverage and Accelerate Change: A Guide for Leaders")</f>
        <v>Using Emotions to Leverage and Accelerate Change: A Guide for Leaders</v>
      </c>
      <c r="M10" s="150" t="str">
        <f ca="1">IFERROR(__xludf.DUMMYFUNCTION("""COMPUTED_VALUE"""),"Master In-Demand Skills for Technology Leadership")</f>
        <v>Master In-Demand Skills for Technology Leadership</v>
      </c>
      <c r="N10" s="134"/>
      <c r="O10" s="134"/>
      <c r="P10" s="134"/>
      <c r="Q10" s="138">
        <f ca="1">IFERROR(__xludf.DUMMYFUNCTION("""COMPUTED_VALUE"""),604211)</f>
        <v>604211</v>
      </c>
      <c r="R10" s="138" t="str">
        <f ca="1">IFERROR(__xludf.DUMMYFUNCTION("""COMPUTED_VALUE"""),"Beginner")</f>
        <v>Beginner</v>
      </c>
      <c r="S10" s="139" t="str">
        <f ca="1">IFERROR(__xludf.DUMMYFUNCTION("""COMPUTED_VALUE"""),"Managing High Performers")</f>
        <v>Managing High Performers</v>
      </c>
      <c r="T10" s="150" t="str">
        <f ca="1">IFERROR(__xludf.DUMMYFUNCTION("""COMPUTED_VALUE"""),"Managing Performance")</f>
        <v>Managing Performance</v>
      </c>
      <c r="U10" s="134"/>
      <c r="V10" s="134"/>
    </row>
    <row r="11" spans="1:22" ht="33.75" customHeight="1" x14ac:dyDescent="0.15">
      <c r="A11" s="134"/>
      <c r="B11" s="134"/>
      <c r="C11" s="138">
        <f ca="1">IFERROR(__xludf.DUMMYFUNCTION("""COMPUTED_VALUE"""),718628)</f>
        <v>718628</v>
      </c>
      <c r="D11" s="138" t="str">
        <f ca="1">IFERROR(__xludf.DUMMYFUNCTION("""COMPUTED_VALUE"""),"Beginner")</f>
        <v>Beginner</v>
      </c>
      <c r="E11" s="139" t="str">
        <f ca="1">IFERROR(__xludf.DUMMYFUNCTION("""COMPUTED_VALUE"""),"Cultivating a Growth Mindset")</f>
        <v>Cultivating a Growth Mindset</v>
      </c>
      <c r="F11" s="140" t="str">
        <f ca="1">IFERROR(__xludf.DUMMYFUNCTION("""COMPUTED_VALUE"""),"Manage Change and Develop Your Adaptability Skills")</f>
        <v>Manage Change and Develop Your Adaptability Skills</v>
      </c>
      <c r="G11" s="134"/>
      <c r="H11" s="134"/>
      <c r="I11" s="134"/>
      <c r="J11" s="138">
        <f ca="1">IFERROR(__xludf.DUMMYFUNCTION("""COMPUTED_VALUE"""),2823579)</f>
        <v>2823579</v>
      </c>
      <c r="K11" s="138" t="str">
        <f ca="1">IFERROR(__xludf.DUMMYFUNCTION("""COMPUTED_VALUE"""),"Advanced")</f>
        <v>Advanced</v>
      </c>
      <c r="L11" s="143" t="str">
        <f ca="1">IFERROR(__xludf.DUMMYFUNCTION("""COMPUTED_VALUE"""),"Adaptive Leadership for VUCA Challenges")</f>
        <v>Adaptive Leadership for VUCA Challenges</v>
      </c>
      <c r="M11" s="140" t="str">
        <f ca="1">IFERROR(__xludf.DUMMYFUNCTION("""COMPUTED_VALUE"""),"Remote Working: Setting Yourself and Your Teams Up for Success")</f>
        <v>Remote Working: Setting Yourself and Your Teams Up for Success</v>
      </c>
      <c r="N11" s="134"/>
      <c r="O11" s="134"/>
      <c r="P11" s="134"/>
      <c r="Q11" s="138">
        <f ca="1">IFERROR(__xludf.DUMMYFUNCTION("""COMPUTED_VALUE"""),604213)</f>
        <v>604213</v>
      </c>
      <c r="R11" s="138" t="str">
        <f ca="1">IFERROR(__xludf.DUMMYFUNCTION("""COMPUTED_VALUE"""),"Beginner")</f>
        <v>Beginner</v>
      </c>
      <c r="S11" s="139" t="str">
        <f ca="1">IFERROR(__xludf.DUMMYFUNCTION("""COMPUTED_VALUE"""),"Managing High Potentials")</f>
        <v>Managing High Potentials</v>
      </c>
      <c r="T11" s="140" t="str">
        <f ca="1">IFERROR(__xludf.DUMMYFUNCTION("""COMPUTED_VALUE"""),"Master In-Demand Professional Soft Skills")</f>
        <v>Master In-Demand Professional Soft Skills</v>
      </c>
      <c r="U11" s="134"/>
      <c r="V11" s="134"/>
    </row>
    <row r="12" spans="1:22" ht="33.75" customHeight="1" x14ac:dyDescent="0.15">
      <c r="A12" s="134"/>
      <c r="B12" s="134"/>
      <c r="C12" s="138">
        <f ca="1">IFERROR(__xludf.DUMMYFUNCTION("""COMPUTED_VALUE"""),661751)</f>
        <v>661751</v>
      </c>
      <c r="D12" s="138" t="str">
        <f ca="1">IFERROR(__xludf.DUMMYFUNCTION("""COMPUTED_VALUE"""),"Beginner")</f>
        <v>Beginner</v>
      </c>
      <c r="E12" s="139" t="str">
        <f ca="1">IFERROR(__xludf.DUMMYFUNCTION("""COMPUTED_VALUE"""),"Developing a Learning Mindset")</f>
        <v>Developing a Learning Mindset</v>
      </c>
      <c r="F12" s="141"/>
      <c r="G12" s="134"/>
      <c r="H12" s="134"/>
      <c r="I12" s="134"/>
      <c r="J12" s="138">
        <f ca="1">IFERROR(__xludf.DUMMYFUNCTION("""COMPUTED_VALUE"""),2831004)</f>
        <v>2831004</v>
      </c>
      <c r="K12" s="138" t="str">
        <f ca="1">IFERROR(__xludf.DUMMYFUNCTION("""COMPUTED_VALUE"""),"Advanced")</f>
        <v>Advanced</v>
      </c>
      <c r="L12" s="139" t="str">
        <f ca="1">IFERROR(__xludf.DUMMYFUNCTION("""COMPUTED_VALUE"""),"Mastering Organizational Chaos")</f>
        <v>Mastering Organizational Chaos</v>
      </c>
      <c r="M12" s="140" t="str">
        <f ca="1">IFERROR(__xludf.DUMMYFUNCTION("""COMPUTED_VALUE"""),"Diversity, Inclusion, and Belonging for Leaders and Managers")</f>
        <v>Diversity, Inclusion, and Belonging for Leaders and Managers</v>
      </c>
      <c r="N12" s="134"/>
      <c r="O12" s="134"/>
      <c r="P12" s="134"/>
      <c r="Q12" s="138">
        <f ca="1">IFERROR(__xludf.DUMMYFUNCTION("""COMPUTED_VALUE"""),696328)</f>
        <v>696328</v>
      </c>
      <c r="R12" s="138" t="str">
        <f ca="1">IFERROR(__xludf.DUMMYFUNCTION("""COMPUTED_VALUE"""),"Beginner")</f>
        <v>Beginner</v>
      </c>
      <c r="S12" s="139" t="str">
        <f ca="1">IFERROR(__xludf.DUMMYFUNCTION("""COMPUTED_VALUE"""),"New Manager Foundations")</f>
        <v>New Manager Foundations</v>
      </c>
      <c r="T12" s="140" t="str">
        <f ca="1">IFERROR(__xludf.DUMMYFUNCTION("""COMPUTED_VALUE"""),"Managing and Leading Developers")</f>
        <v>Managing and Leading Developers</v>
      </c>
      <c r="U12" s="134"/>
      <c r="V12" s="134"/>
    </row>
    <row r="13" spans="1:22" ht="33.75" customHeight="1" x14ac:dyDescent="0.15">
      <c r="A13" s="134"/>
      <c r="B13" s="134"/>
      <c r="C13" s="138">
        <f ca="1">IFERROR(__xludf.DUMMYFUNCTION("""COMPUTED_VALUE"""),5015862)</f>
        <v>5015862</v>
      </c>
      <c r="D13" s="138" t="str">
        <f ca="1">IFERROR(__xludf.DUMMYFUNCTION("""COMPUTED_VALUE"""),"Beginner")</f>
        <v>Beginner</v>
      </c>
      <c r="E13" s="139" t="str">
        <f ca="1">IFERROR(__xludf.DUMMYFUNCTION("""COMPUTED_VALUE"""),"Embracing Unexpected Change")</f>
        <v>Embracing Unexpected Change</v>
      </c>
      <c r="F13" s="142"/>
      <c r="G13" s="134"/>
      <c r="H13" s="134"/>
      <c r="I13" s="134"/>
      <c r="J13" s="138">
        <f ca="1">IFERROR(__xludf.DUMMYFUNCTION("""COMPUTED_VALUE"""),2974329)</f>
        <v>2974329</v>
      </c>
      <c r="K13" s="138" t="str">
        <f ca="1">IFERROR(__xludf.DUMMYFUNCTION("""COMPUTED_VALUE"""),"Beginner")</f>
        <v>Beginner</v>
      </c>
      <c r="L13" s="139" t="str">
        <f ca="1">IFERROR(__xludf.DUMMYFUNCTION("""COMPUTED_VALUE"""),"Inspirational Leadership Skills: Practical Motivational Leadership")</f>
        <v>Inspirational Leadership Skills: Practical Motivational Leadership</v>
      </c>
      <c r="M13" s="150" t="str">
        <f ca="1">IFERROR(__xludf.DUMMYFUNCTION("""COMPUTED_VALUE"""),"Leading Others Effectively")</f>
        <v>Leading Others Effectively</v>
      </c>
      <c r="N13" s="134"/>
      <c r="O13" s="134"/>
      <c r="P13" s="134"/>
      <c r="Q13" s="138">
        <f ca="1">IFERROR(__xludf.DUMMYFUNCTION("""COMPUTED_VALUE"""),5015865)</f>
        <v>5015865</v>
      </c>
      <c r="R13" s="138" t="str">
        <f ca="1">IFERROR(__xludf.DUMMYFUNCTION("""COMPUTED_VALUE"""),"Beginner")</f>
        <v>Beginner</v>
      </c>
      <c r="S13" s="139" t="str">
        <f ca="1">IFERROR(__xludf.DUMMYFUNCTION("""COMPUTED_VALUE"""),"Performance Management: Setting Goals and Managing Performance")</f>
        <v>Performance Management: Setting Goals and Managing Performance</v>
      </c>
      <c r="T13" s="142"/>
      <c r="U13" s="134"/>
      <c r="V13" s="134"/>
    </row>
    <row r="14" spans="1:22" ht="33.75" customHeight="1" x14ac:dyDescent="0.15">
      <c r="A14" s="134"/>
      <c r="B14" s="134"/>
      <c r="C14" s="138">
        <f ca="1">IFERROR(__xludf.DUMMYFUNCTION("""COMPUTED_VALUE"""),495346)</f>
        <v>495346</v>
      </c>
      <c r="D14" s="138" t="str">
        <f ca="1">IFERROR(__xludf.DUMMYFUNCTION("""COMPUTED_VALUE"""),"Beginner")</f>
        <v>Beginner</v>
      </c>
      <c r="E14" s="139" t="str">
        <f ca="1">IFERROR(__xludf.DUMMYFUNCTION("""COMPUTED_VALUE"""),"Gary Hamel on Busting Bureaucracy")</f>
        <v>Gary Hamel on Busting Bureaucracy</v>
      </c>
      <c r="F14" s="141"/>
      <c r="G14" s="134"/>
      <c r="H14" s="134"/>
      <c r="I14" s="134"/>
      <c r="J14" s="138">
        <f ca="1">IFERROR(__xludf.DUMMYFUNCTION("""COMPUTED_VALUE"""),512773)</f>
        <v>512773</v>
      </c>
      <c r="K14" s="138" t="str">
        <f ca="1">IFERROR(__xludf.DUMMYFUNCTION("""COMPUTED_VALUE"""),"Beginner")</f>
        <v>Beginner</v>
      </c>
      <c r="L14" s="139" t="str">
        <f ca="1">IFERROR(__xludf.DUMMYFUNCTION("""COMPUTED_VALUE"""),"Bill George on Self-Awareness, Authenticity, and Leadership")</f>
        <v>Bill George on Self-Awareness, Authenticity, and Leadership</v>
      </c>
      <c r="M14" s="141"/>
      <c r="N14" s="134"/>
      <c r="O14" s="134"/>
      <c r="P14" s="134"/>
      <c r="Q14" s="138">
        <f ca="1">IFERROR(__xludf.DUMMYFUNCTION("""COMPUTED_VALUE"""),456353)</f>
        <v>456353</v>
      </c>
      <c r="R14" s="138" t="str">
        <f ca="1">IFERROR(__xludf.DUMMYFUNCTION("""COMPUTED_VALUE"""),"Beginner")</f>
        <v>Beginner</v>
      </c>
      <c r="S14" s="139" t="str">
        <f ca="1">IFERROR(__xludf.DUMMYFUNCTION("""COMPUTED_VALUE"""),"Setting Team and Employee Goals Using SMART Methodology")</f>
        <v>Setting Team and Employee Goals Using SMART Methodology</v>
      </c>
      <c r="T14" s="141"/>
      <c r="U14" s="134"/>
      <c r="V14" s="134"/>
    </row>
    <row r="15" spans="1:22" ht="33.75" customHeight="1" x14ac:dyDescent="0.15">
      <c r="A15" s="134"/>
      <c r="B15" s="134"/>
      <c r="C15" s="138">
        <f ca="1">IFERROR(__xludf.DUMMYFUNCTION("""COMPUTED_VALUE"""),608995)</f>
        <v>608995</v>
      </c>
      <c r="D15" s="138" t="str">
        <f ca="1">IFERROR(__xludf.DUMMYFUNCTION("""COMPUTED_VALUE"""),"Beginner")</f>
        <v>Beginner</v>
      </c>
      <c r="E15" s="139" t="str">
        <f ca="1">IFERROR(__xludf.DUMMYFUNCTION("""COMPUTED_VALUE"""),"Jeff Dyer on Innovation")</f>
        <v>Jeff Dyer on Innovation</v>
      </c>
      <c r="F15" s="141"/>
      <c r="G15" s="134"/>
      <c r="H15" s="134"/>
      <c r="I15" s="134"/>
      <c r="J15" s="138">
        <f ca="1">IFERROR(__xludf.DUMMYFUNCTION("""COMPUTED_VALUE"""),2809355)</f>
        <v>2809355</v>
      </c>
      <c r="K15" s="138" t="str">
        <f ca="1">IFERROR(__xludf.DUMMYFUNCTION("""COMPUTED_VALUE"""),"Beginner")</f>
        <v>Beginner</v>
      </c>
      <c r="L15" s="139" t="str">
        <f ca="1">IFERROR(__xludf.DUMMYFUNCTION("""COMPUTED_VALUE"""),"Body Language for Leaders")</f>
        <v>Body Language for Leaders</v>
      </c>
      <c r="M15" s="141"/>
      <c r="N15" s="134"/>
      <c r="O15" s="134"/>
      <c r="P15" s="134"/>
      <c r="Q15" s="138">
        <f ca="1">IFERROR(__xludf.DUMMYFUNCTION("""COMPUTED_VALUE"""),385661)</f>
        <v>385661</v>
      </c>
      <c r="R15" s="138" t="str">
        <f ca="1">IFERROR(__xludf.DUMMYFUNCTION("""COMPUTED_VALUE"""),"Beginner")</f>
        <v>Beginner</v>
      </c>
      <c r="S15" s="139" t="str">
        <f ca="1">IFERROR(__xludf.DUMMYFUNCTION("""COMPUTED_VALUE"""),"Simplifying Business Processes")</f>
        <v>Simplifying Business Processes</v>
      </c>
      <c r="T15" s="141"/>
      <c r="U15" s="134"/>
      <c r="V15" s="134"/>
    </row>
    <row r="16" spans="1:22" ht="33.75" customHeight="1" x14ac:dyDescent="0.15">
      <c r="A16" s="134"/>
      <c r="B16" s="134"/>
      <c r="C16" s="138">
        <f ca="1">IFERROR(__xludf.DUMMYFUNCTION("""COMPUTED_VALUE"""),616671)</f>
        <v>616671</v>
      </c>
      <c r="D16" s="138" t="str">
        <f ca="1">IFERROR(__xludf.DUMMYFUNCTION("""COMPUTED_VALUE"""),"Beginner")</f>
        <v>Beginner</v>
      </c>
      <c r="E16" s="139" t="str">
        <f ca="1">IFERROR(__xludf.DUMMYFUNCTION("""COMPUTED_VALUE"""),"Learning Design for Sustainability")</f>
        <v>Learning Design for Sustainability</v>
      </c>
      <c r="F16" s="141"/>
      <c r="G16" s="134"/>
      <c r="H16" s="134"/>
      <c r="I16" s="134"/>
      <c r="J16" s="138">
        <f ca="1">IFERROR(__xludf.DUMMYFUNCTION("""COMPUTED_VALUE"""),5034158)</f>
        <v>5034158</v>
      </c>
      <c r="K16" s="138" t="str">
        <f ca="1">IFERROR(__xludf.DUMMYFUNCTION("""COMPUTED_VALUE"""),"Beginner")</f>
        <v>Beginner</v>
      </c>
      <c r="L16" s="139" t="str">
        <f ca="1">IFERROR(__xludf.DUMMYFUNCTION("""COMPUTED_VALUE"""),"Developing Credibility as a Leader")</f>
        <v>Developing Credibility as a Leader</v>
      </c>
      <c r="M16" s="141"/>
      <c r="N16" s="134"/>
      <c r="O16" s="134"/>
      <c r="P16" s="134"/>
      <c r="Q16" s="138">
        <f ca="1">IFERROR(__xludf.DUMMYFUNCTION("""COMPUTED_VALUE"""),536419)</f>
        <v>536419</v>
      </c>
      <c r="R16" s="138" t="str">
        <f ca="1">IFERROR(__xludf.DUMMYFUNCTION("""COMPUTED_VALUE"""),"Beginner")</f>
        <v>Beginner</v>
      </c>
      <c r="S16" s="139" t="str">
        <f ca="1">IFERROR(__xludf.DUMMYFUNCTION("""COMPUTED_VALUE"""),"Talent Management")</f>
        <v>Talent Management</v>
      </c>
      <c r="T16" s="141"/>
      <c r="U16" s="134"/>
      <c r="V16" s="134"/>
    </row>
    <row r="17" spans="1:22" ht="33.75" customHeight="1" x14ac:dyDescent="0.15">
      <c r="A17" s="134"/>
      <c r="B17" s="134"/>
      <c r="C17" s="138">
        <f ca="1">IFERROR(__xludf.DUMMYFUNCTION("""COMPUTED_VALUE"""),433738)</f>
        <v>433738</v>
      </c>
      <c r="D17" s="138" t="str">
        <f ca="1">IFERROR(__xludf.DUMMYFUNCTION("""COMPUTED_VALUE"""),"Beginner")</f>
        <v>Beginner</v>
      </c>
      <c r="E17" s="139" t="str">
        <f ca="1">IFERROR(__xludf.DUMMYFUNCTION("""COMPUTED_VALUE"""),"Learning Design Thinking: Lead Change in Your Organization")</f>
        <v>Learning Design Thinking: Lead Change in Your Organization</v>
      </c>
      <c r="F17" s="141"/>
      <c r="G17" s="134"/>
      <c r="H17" s="134"/>
      <c r="I17" s="134"/>
      <c r="J17" s="138">
        <f ca="1">IFERROR(__xludf.DUMMYFUNCTION("""COMPUTED_VALUE"""),651185)</f>
        <v>651185</v>
      </c>
      <c r="K17" s="138" t="str">
        <f ca="1">IFERROR(__xludf.DUMMYFUNCTION("""COMPUTED_VALUE"""),"Beginner")</f>
        <v>Beginner</v>
      </c>
      <c r="L17" s="139" t="str">
        <f ca="1">IFERROR(__xludf.DUMMYFUNCTION("""COMPUTED_VALUE"""),"Emerging Leader Foundations")</f>
        <v>Emerging Leader Foundations</v>
      </c>
      <c r="M17" s="141"/>
      <c r="N17" s="134"/>
      <c r="O17" s="134"/>
      <c r="P17" s="134"/>
      <c r="Q17" s="138">
        <f ca="1">IFERROR(__xludf.DUMMYFUNCTION("""COMPUTED_VALUE"""),2822313)</f>
        <v>2822313</v>
      </c>
      <c r="R17" s="138" t="str">
        <f ca="1">IFERROR(__xludf.DUMMYFUNCTION("""COMPUTED_VALUE"""),"Beginner")</f>
        <v>Beginner</v>
      </c>
      <c r="S17" s="139" t="str">
        <f ca="1">IFERROR(__xludf.DUMMYFUNCTION("""COMPUTED_VALUE"""),"Avoiding New Manager Mistakes")</f>
        <v>Avoiding New Manager Mistakes</v>
      </c>
      <c r="T17" s="141"/>
      <c r="U17" s="134"/>
      <c r="V17" s="134"/>
    </row>
    <row r="18" spans="1:22" ht="33.75" customHeight="1" x14ac:dyDescent="0.15">
      <c r="A18" s="134"/>
      <c r="B18" s="134"/>
      <c r="C18" s="138">
        <f ca="1">IFERROR(__xludf.DUMMYFUNCTION("""COMPUTED_VALUE"""),370569)</f>
        <v>370569</v>
      </c>
      <c r="D18" s="138" t="str">
        <f ca="1">IFERROR(__xludf.DUMMYFUNCTION("""COMPUTED_VALUE"""),"Beginner")</f>
        <v>Beginner</v>
      </c>
      <c r="E18" s="139" t="str">
        <f ca="1">IFERROR(__xludf.DUMMYFUNCTION("""COMPUTED_VALUE"""),"Organization Communication")</f>
        <v>Organization Communication</v>
      </c>
      <c r="F18" s="141"/>
      <c r="G18" s="134"/>
      <c r="H18" s="134"/>
      <c r="I18" s="134"/>
      <c r="J18" s="138">
        <f ca="1">IFERROR(__xludf.DUMMYFUNCTION("""COMPUTED_VALUE"""),458640)</f>
        <v>458640</v>
      </c>
      <c r="K18" s="138" t="str">
        <f ca="1">IFERROR(__xludf.DUMMYFUNCTION("""COMPUTED_VALUE"""),"Beginner")</f>
        <v>Beginner</v>
      </c>
      <c r="L18" s="139" t="str">
        <f ca="1">IFERROR(__xludf.DUMMYFUNCTION("""COMPUTED_VALUE"""),"Fred Kofman on Accountability")</f>
        <v>Fred Kofman on Accountability</v>
      </c>
      <c r="M18" s="141"/>
      <c r="N18" s="134"/>
      <c r="O18" s="134"/>
      <c r="P18" s="134"/>
      <c r="Q18" s="138">
        <f ca="1">IFERROR(__xludf.DUMMYFUNCTION("""COMPUTED_VALUE"""),2822314)</f>
        <v>2822314</v>
      </c>
      <c r="R18" s="138" t="str">
        <f ca="1">IFERROR(__xludf.DUMMYFUNCTION("""COMPUTED_VALUE"""),"Beginner")</f>
        <v>Beginner</v>
      </c>
      <c r="S18" s="139" t="str">
        <f ca="1">IFERROR(__xludf.DUMMYFUNCTION("""COMPUTED_VALUE"""),"How to Give and Receive Useful Feedback Every Month")</f>
        <v>How to Give and Receive Useful Feedback Every Month</v>
      </c>
      <c r="T18" s="141"/>
      <c r="U18" s="134"/>
      <c r="V18" s="134"/>
    </row>
    <row r="19" spans="1:22" ht="33.75" customHeight="1" x14ac:dyDescent="0.15">
      <c r="A19" s="134"/>
      <c r="B19" s="134"/>
      <c r="C19" s="138">
        <f ca="1">IFERROR(__xludf.DUMMYFUNCTION("""COMPUTED_VALUE"""),599597)</f>
        <v>599597</v>
      </c>
      <c r="D19" s="138" t="str">
        <f ca="1">IFERROR(__xludf.DUMMYFUNCTION("""COMPUTED_VALUE"""),"Beginner")</f>
        <v>Beginner</v>
      </c>
      <c r="E19" s="139" t="str">
        <f ca="1">IFERROR(__xludf.DUMMYFUNCTION("""COMPUTED_VALUE"""),"Performing under Pressure")</f>
        <v>Performing under Pressure</v>
      </c>
      <c r="F19" s="141"/>
      <c r="G19" s="134"/>
      <c r="H19" s="134"/>
      <c r="I19" s="134"/>
      <c r="J19" s="138">
        <f ca="1">IFERROR(__xludf.DUMMYFUNCTION("""COMPUTED_VALUE"""),564548)</f>
        <v>564548</v>
      </c>
      <c r="K19" s="138" t="str">
        <f ca="1">IFERROR(__xludf.DUMMYFUNCTION("""COMPUTED_VALUE"""),"Beginner")</f>
        <v>Beginner</v>
      </c>
      <c r="L19" s="139" t="str">
        <f ca="1">IFERROR(__xludf.DUMMYFUNCTION("""COMPUTED_VALUE"""),"Jeff Weiner on Managing Compassionately")</f>
        <v>Jeff Weiner on Managing Compassionately</v>
      </c>
      <c r="M19" s="141"/>
      <c r="N19" s="134"/>
      <c r="O19" s="134"/>
      <c r="P19" s="134"/>
      <c r="Q19" s="138">
        <f ca="1">IFERROR(__xludf.DUMMYFUNCTION("""COMPUTED_VALUE"""),2824174)</f>
        <v>2824174</v>
      </c>
      <c r="R19" s="138" t="str">
        <f ca="1">IFERROR(__xludf.DUMMYFUNCTION("""COMPUTED_VALUE"""),"Beginner")</f>
        <v>Beginner</v>
      </c>
      <c r="S19" s="139" t="str">
        <f ca="1">IFERROR(__xludf.DUMMYFUNCTION("""COMPUTED_VALUE"""),"Simple Manager Tools that Cure the Under-Management Epidemic")</f>
        <v>Simple Manager Tools that Cure the Under-Management Epidemic</v>
      </c>
      <c r="T19" s="141"/>
      <c r="U19" s="134"/>
      <c r="V19" s="134"/>
    </row>
    <row r="20" spans="1:22" ht="33.75" customHeight="1" x14ac:dyDescent="0.15">
      <c r="A20" s="134"/>
      <c r="B20" s="134"/>
      <c r="C20" s="138">
        <f ca="1">IFERROR(__xludf.DUMMYFUNCTION("""COMPUTED_VALUE"""),2807858)</f>
        <v>2807858</v>
      </c>
      <c r="D20" s="138" t="str">
        <f ca="1">IFERROR(__xludf.DUMMYFUNCTION("""COMPUTED_VALUE"""),"Beginner")</f>
        <v>Beginner</v>
      </c>
      <c r="E20" s="139" t="str">
        <f ca="1">IFERROR(__xludf.DUMMYFUNCTION("""COMPUTED_VALUE"""),"Women Transforming Tech: Getting Strategic with Your Career")</f>
        <v>Women Transforming Tech: Getting Strategic with Your Career</v>
      </c>
      <c r="F20" s="141"/>
      <c r="G20" s="134"/>
      <c r="H20" s="134"/>
      <c r="I20" s="134"/>
      <c r="J20" s="138">
        <f ca="1">IFERROR(__xludf.DUMMYFUNCTION("""COMPUTED_VALUE"""),696872)</f>
        <v>696872</v>
      </c>
      <c r="K20" s="138" t="str">
        <f ca="1">IFERROR(__xludf.DUMMYFUNCTION("""COMPUTED_VALUE"""),"Beginner")</f>
        <v>Beginner</v>
      </c>
      <c r="L20" s="139" t="str">
        <f ca="1">IFERROR(__xludf.DUMMYFUNCTION("""COMPUTED_VALUE"""),"Ken Blanchard on Servant Leadership")</f>
        <v>Ken Blanchard on Servant Leadership</v>
      </c>
      <c r="M20" s="141"/>
      <c r="N20" s="134"/>
      <c r="O20" s="134"/>
      <c r="P20" s="134"/>
      <c r="Q20" s="138">
        <f ca="1">IFERROR(__xludf.DUMMYFUNCTION("""COMPUTED_VALUE"""),2824202)</f>
        <v>2824202</v>
      </c>
      <c r="R20" s="138" t="str">
        <f ca="1">IFERROR(__xludf.DUMMYFUNCTION("""COMPUTED_VALUE"""),"Beginner")</f>
        <v>Beginner</v>
      </c>
      <c r="S20" s="139" t="str">
        <f ca="1">IFERROR(__xludf.DUMMYFUNCTION("""COMPUTED_VALUE"""),"The Benefits of Standardization and Standard Work")</f>
        <v>The Benefits of Standardization and Standard Work</v>
      </c>
      <c r="T20" s="141"/>
      <c r="U20" s="134"/>
      <c r="V20" s="134"/>
    </row>
    <row r="21" spans="1:22" ht="33.75" customHeight="1" x14ac:dyDescent="0.15">
      <c r="A21" s="134"/>
      <c r="B21" s="134"/>
      <c r="C21" s="138">
        <f ca="1">IFERROR(__xludf.DUMMYFUNCTION("""COMPUTED_VALUE"""),2810166)</f>
        <v>2810166</v>
      </c>
      <c r="D21" s="138" t="str">
        <f ca="1">IFERROR(__xludf.DUMMYFUNCTION("""COMPUTED_VALUE"""),"Beginner")</f>
        <v>Beginner</v>
      </c>
      <c r="E21" s="139" t="str">
        <f ca="1">IFERROR(__xludf.DUMMYFUNCTION("""COMPUTED_VALUE"""),"Women Transforming Tech: Breaking Bias")</f>
        <v>Women Transforming Tech: Breaking Bias</v>
      </c>
      <c r="F21" s="141"/>
      <c r="G21" s="134"/>
      <c r="H21" s="134"/>
      <c r="I21" s="134"/>
      <c r="J21" s="138">
        <f ca="1">IFERROR(__xludf.DUMMYFUNCTION("""COMPUTED_VALUE"""),802830)</f>
        <v>802830</v>
      </c>
      <c r="K21" s="138" t="str">
        <f ca="1">IFERROR(__xludf.DUMMYFUNCTION("""COMPUTED_VALUE"""),"Beginner")</f>
        <v>Beginner</v>
      </c>
      <c r="L21" s="139" t="str">
        <f ca="1">IFERROR(__xludf.DUMMYFUNCTION("""COMPUTED_VALUE"""),"Leadership Foundations: Leadership Styles and Models")</f>
        <v>Leadership Foundations: Leadership Styles and Models</v>
      </c>
      <c r="M21" s="141"/>
      <c r="N21" s="134"/>
      <c r="O21" s="134"/>
      <c r="P21" s="134"/>
      <c r="Q21" s="138">
        <f ca="1">IFERROR(__xludf.DUMMYFUNCTION("""COMPUTED_VALUE"""),2823296)</f>
        <v>2823296</v>
      </c>
      <c r="R21" s="138" t="str">
        <f ca="1">IFERROR(__xludf.DUMMYFUNCTION("""COMPUTED_VALUE"""),"Beginner")</f>
        <v>Beginner</v>
      </c>
      <c r="S21" s="139" t="str">
        <f ca="1">IFERROR(__xludf.DUMMYFUNCTION("""COMPUTED_VALUE"""),"Implementing Continuous Improvement: A Case Study")</f>
        <v>Implementing Continuous Improvement: A Case Study</v>
      </c>
      <c r="T21" s="141"/>
      <c r="U21" s="134"/>
      <c r="V21" s="134"/>
    </row>
    <row r="22" spans="1:22" ht="33.75" customHeight="1" x14ac:dyDescent="0.15">
      <c r="A22" s="134"/>
      <c r="B22" s="134"/>
      <c r="C22" s="138">
        <f ca="1">IFERROR(__xludf.DUMMYFUNCTION("""COMPUTED_VALUE"""),2814148)</f>
        <v>2814148</v>
      </c>
      <c r="D22" s="138" t="str">
        <f ca="1">IFERROR(__xludf.DUMMYFUNCTION("""COMPUTED_VALUE"""),"Beginner")</f>
        <v>Beginner</v>
      </c>
      <c r="E22" s="139" t="str">
        <f ca="1">IFERROR(__xludf.DUMMYFUNCTION("""COMPUTED_VALUE"""),"Mission and Vision Statements Explained")</f>
        <v>Mission and Vision Statements Explained</v>
      </c>
      <c r="F22" s="141"/>
      <c r="G22" s="134"/>
      <c r="H22" s="134"/>
      <c r="I22" s="134"/>
      <c r="J22" s="138">
        <f ca="1">IFERROR(__xludf.DUMMYFUNCTION("""COMPUTED_VALUE"""),689764)</f>
        <v>689764</v>
      </c>
      <c r="K22" s="138" t="str">
        <f ca="1">IFERROR(__xludf.DUMMYFUNCTION("""COMPUTED_VALUE"""),"Beginner")</f>
        <v>Beginner</v>
      </c>
      <c r="L22" s="139" t="str">
        <f ca="1">IFERROR(__xludf.DUMMYFUNCTION("""COMPUTED_VALUE"""),"Leadership Stories: 5-Minute Lessons in Leading People")</f>
        <v>Leadership Stories: 5-Minute Lessons in Leading People</v>
      </c>
      <c r="M22" s="141"/>
      <c r="N22" s="134"/>
      <c r="O22" s="134"/>
      <c r="P22" s="134"/>
      <c r="Q22" s="138">
        <f ca="1">IFERROR(__xludf.DUMMYFUNCTION("""COMPUTED_VALUE"""),2823297)</f>
        <v>2823297</v>
      </c>
      <c r="R22" s="138" t="str">
        <f ca="1">IFERROR(__xludf.DUMMYFUNCTION("""COMPUTED_VALUE"""),"Beginner")</f>
        <v>Beginner</v>
      </c>
      <c r="S22" s="139" t="str">
        <f ca="1">IFERROR(__xludf.DUMMYFUNCTION("""COMPUTED_VALUE"""),"Culture of Kaizen")</f>
        <v>Culture of Kaizen</v>
      </c>
      <c r="T22" s="141"/>
      <c r="U22" s="134"/>
      <c r="V22" s="134"/>
    </row>
    <row r="23" spans="1:22" ht="33.75" customHeight="1" x14ac:dyDescent="0.15">
      <c r="A23" s="134"/>
      <c r="B23" s="134"/>
      <c r="C23" s="138">
        <f ca="1">IFERROR(__xludf.DUMMYFUNCTION("""COMPUTED_VALUE"""),2819181)</f>
        <v>2819181</v>
      </c>
      <c r="D23" s="138" t="str">
        <f ca="1">IFERROR(__xludf.DUMMYFUNCTION("""COMPUTED_VALUE"""),"Beginner")</f>
        <v>Beginner</v>
      </c>
      <c r="E23" s="139" t="str">
        <f ca="1">IFERROR(__xludf.DUMMYFUNCTION("""COMPUTED_VALUE"""),"Becoming an AI-First Product Leader")</f>
        <v>Becoming an AI-First Product Leader</v>
      </c>
      <c r="F23" s="141"/>
      <c r="G23" s="134"/>
      <c r="H23" s="134"/>
      <c r="I23" s="134"/>
      <c r="J23" s="138">
        <f ca="1">IFERROR(__xludf.DUMMYFUNCTION("""COMPUTED_VALUE"""),721910)</f>
        <v>721910</v>
      </c>
      <c r="K23" s="138" t="str">
        <f ca="1">IFERROR(__xludf.DUMMYFUNCTION("""COMPUTED_VALUE"""),"Beginner")</f>
        <v>Beginner</v>
      </c>
      <c r="L23" s="139" t="str">
        <f ca="1">IFERROR(__xludf.DUMMYFUNCTION("""COMPUTED_VALUE"""),"Leadership: Practical Skills")</f>
        <v>Leadership: Practical Skills</v>
      </c>
      <c r="M23" s="141"/>
      <c r="N23" s="134"/>
      <c r="O23" s="134"/>
      <c r="P23" s="134"/>
      <c r="Q23" s="138">
        <f ca="1">IFERROR(__xludf.DUMMYFUNCTION("""COMPUTED_VALUE"""),2825706)</f>
        <v>2825706</v>
      </c>
      <c r="R23" s="138" t="str">
        <f ca="1">IFERROR(__xludf.DUMMYFUNCTION("""COMPUTED_VALUE"""),"Beginner")</f>
        <v>Beginner</v>
      </c>
      <c r="S23" s="139" t="str">
        <f ca="1">IFERROR(__xludf.DUMMYFUNCTION("""COMPUTED_VALUE"""),"Configure and Manage Office 365 Workload Integrations (Office 365/Microsoft 365)")</f>
        <v>Configure and Manage Office 365 Workload Integrations (Office 365/Microsoft 365)</v>
      </c>
      <c r="T23" s="141"/>
      <c r="U23" s="134"/>
      <c r="V23" s="134"/>
    </row>
    <row r="24" spans="1:22" ht="33.75" customHeight="1" x14ac:dyDescent="0.15">
      <c r="A24" s="134"/>
      <c r="B24" s="134"/>
      <c r="C24" s="138">
        <f ca="1">IFERROR(__xludf.DUMMYFUNCTION("""COMPUTED_VALUE"""),2825404)</f>
        <v>2825404</v>
      </c>
      <c r="D24" s="138" t="str">
        <f ca="1">IFERROR(__xludf.DUMMYFUNCTION("""COMPUTED_VALUE"""),"Beginner")</f>
        <v>Beginner</v>
      </c>
      <c r="E24" s="139" t="str">
        <f ca="1">IFERROR(__xludf.DUMMYFUNCTION("""COMPUTED_VALUE"""),"Leading with Fearless Mindfulness")</f>
        <v>Leading with Fearless Mindfulness</v>
      </c>
      <c r="F24" s="141"/>
      <c r="G24" s="134"/>
      <c r="H24" s="134"/>
      <c r="I24" s="134"/>
      <c r="J24" s="138">
        <f ca="1">IFERROR(__xludf.DUMMYFUNCTION("""COMPUTED_VALUE"""),5022323)</f>
        <v>5022323</v>
      </c>
      <c r="K24" s="138" t="str">
        <f ca="1">IFERROR(__xludf.DUMMYFUNCTION("""COMPUTED_VALUE"""),"Beginner")</f>
        <v>Beginner</v>
      </c>
      <c r="L24" s="139" t="str">
        <f ca="1">IFERROR(__xludf.DUMMYFUNCTION("""COMPUTED_VALUE"""),"Leading with Stories")</f>
        <v>Leading with Stories</v>
      </c>
      <c r="M24" s="141"/>
      <c r="N24" s="134"/>
      <c r="O24" s="134"/>
      <c r="P24" s="134"/>
      <c r="Q24" s="138">
        <f ca="1">IFERROR(__xludf.DUMMYFUNCTION("""COMPUTED_VALUE"""),2824268)</f>
        <v>2824268</v>
      </c>
      <c r="R24" s="138" t="str">
        <f ca="1">IFERROR(__xludf.DUMMYFUNCTION("""COMPUTED_VALUE"""),"Beginner")</f>
        <v>Beginner</v>
      </c>
      <c r="S24" s="139" t="str">
        <f ca="1">IFERROR(__xludf.DUMMYFUNCTION("""COMPUTED_VALUE"""),"HR Guidelines Everyone Should Know")</f>
        <v>HR Guidelines Everyone Should Know</v>
      </c>
      <c r="T24" s="141"/>
      <c r="U24" s="134"/>
      <c r="V24" s="134"/>
    </row>
    <row r="25" spans="1:22" ht="33.75" customHeight="1" x14ac:dyDescent="0.15">
      <c r="A25" s="134"/>
      <c r="B25" s="134"/>
      <c r="C25" s="138">
        <f ca="1">IFERROR(__xludf.DUMMYFUNCTION("""COMPUTED_VALUE"""),2825405)</f>
        <v>2825405</v>
      </c>
      <c r="D25" s="138" t="str">
        <f ca="1">IFERROR(__xludf.DUMMYFUNCTION("""COMPUTED_VALUE"""),"Beginner")</f>
        <v>Beginner</v>
      </c>
      <c r="E25" s="139" t="str">
        <f ca="1">IFERROR(__xludf.DUMMYFUNCTION("""COMPUTED_VALUE"""),"Guy Kawasaki on Turning Life Wisdom into Business Success")</f>
        <v>Guy Kawasaki on Turning Life Wisdom into Business Success</v>
      </c>
      <c r="F25" s="141"/>
      <c r="G25" s="134"/>
      <c r="H25" s="134"/>
      <c r="I25" s="134"/>
      <c r="J25" s="138">
        <f ca="1">IFERROR(__xludf.DUMMYFUNCTION("""COMPUTED_VALUE"""),585228)</f>
        <v>585228</v>
      </c>
      <c r="K25" s="138" t="str">
        <f ca="1">IFERROR(__xludf.DUMMYFUNCTION("""COMPUTED_VALUE"""),"Beginner")</f>
        <v>Beginner</v>
      </c>
      <c r="L25" s="139" t="str">
        <f ca="1">IFERROR(__xludf.DUMMYFUNCTION("""COMPUTED_VALUE"""),"Leading Yourself")</f>
        <v>Leading Yourself</v>
      </c>
      <c r="M25" s="141"/>
      <c r="N25" s="134"/>
      <c r="O25" s="134"/>
      <c r="P25" s="134"/>
      <c r="Q25" s="138">
        <f ca="1">IFERROR(__xludf.DUMMYFUNCTION("""COMPUTED_VALUE"""),2834000)</f>
        <v>2834000</v>
      </c>
      <c r="R25" s="138" t="str">
        <f ca="1">IFERROR(__xludf.DUMMYFUNCTION("""COMPUTED_VALUE"""),"Beginner")</f>
        <v>Beginner</v>
      </c>
      <c r="S25" s="139" t="str">
        <f ca="1">IFERROR(__xludf.DUMMYFUNCTION("""COMPUTED_VALUE"""),"Project Leadership")</f>
        <v>Project Leadership</v>
      </c>
      <c r="T25" s="141"/>
      <c r="U25" s="134"/>
      <c r="V25" s="134"/>
    </row>
    <row r="26" spans="1:22" ht="33.75" customHeight="1" x14ac:dyDescent="0.15">
      <c r="A26" s="134"/>
      <c r="B26" s="134"/>
      <c r="C26" s="138">
        <f ca="1">IFERROR(__xludf.DUMMYFUNCTION("""COMPUTED_VALUE"""),2848273)</f>
        <v>2848273</v>
      </c>
      <c r="D26" s="138" t="str">
        <f ca="1">IFERROR(__xludf.DUMMYFUNCTION("""COMPUTED_VALUE"""),"Beginner")</f>
        <v>Beginner</v>
      </c>
      <c r="E26" s="139" t="str">
        <f ca="1">IFERROR(__xludf.DUMMYFUNCTION("""COMPUTED_VALUE"""),"Advocating for Change in Your Organization")</f>
        <v>Advocating for Change in Your Organization</v>
      </c>
      <c r="F26" s="141"/>
      <c r="G26" s="134"/>
      <c r="H26" s="134"/>
      <c r="I26" s="134"/>
      <c r="J26" s="138">
        <f ca="1">IFERROR(__xludf.DUMMYFUNCTION("""COMPUTED_VALUE"""),645018)</f>
        <v>645018</v>
      </c>
      <c r="K26" s="138" t="str">
        <f ca="1">IFERROR(__xludf.DUMMYFUNCTION("""COMPUTED_VALUE"""),"Beginner")</f>
        <v>Beginner</v>
      </c>
      <c r="L26" s="139" t="str">
        <f ca="1">IFERROR(__xludf.DUMMYFUNCTION("""COMPUTED_VALUE"""),"Ryan Holmes on Social Leadership")</f>
        <v>Ryan Holmes on Social Leadership</v>
      </c>
      <c r="M26" s="141"/>
      <c r="N26" s="134"/>
      <c r="O26" s="134"/>
      <c r="P26" s="134"/>
      <c r="Q26" s="138">
        <f ca="1">IFERROR(__xludf.DUMMYFUNCTION("""COMPUTED_VALUE"""),2839044)</f>
        <v>2839044</v>
      </c>
      <c r="R26" s="138" t="str">
        <f ca="1">IFERROR(__xludf.DUMMYFUNCTION("""COMPUTED_VALUE"""),"Beginner")</f>
        <v>Beginner</v>
      </c>
      <c r="S26" s="139" t="str">
        <f ca="1">IFERROR(__xludf.DUMMYFUNCTION("""COMPUTED_VALUE"""),"How to Effectively Deliver Criticism")</f>
        <v>How to Effectively Deliver Criticism</v>
      </c>
      <c r="T26" s="141"/>
      <c r="U26" s="134"/>
      <c r="V26" s="134"/>
    </row>
    <row r="27" spans="1:22" ht="33.75" customHeight="1" x14ac:dyDescent="0.15">
      <c r="A27" s="134"/>
      <c r="B27" s="134"/>
      <c r="C27" s="138">
        <f ca="1">IFERROR(__xludf.DUMMYFUNCTION("""COMPUTED_VALUE"""),2815033)</f>
        <v>2815033</v>
      </c>
      <c r="D27" s="138" t="str">
        <f ca="1">IFERROR(__xludf.DUMMYFUNCTION("""COMPUTED_VALUE"""),"Beginner + Intermediate")</f>
        <v>Beginner + Intermediate</v>
      </c>
      <c r="E27" s="139" t="str">
        <f ca="1">IFERROR(__xludf.DUMMYFUNCTION("""COMPUTED_VALUE"""),"Mixtape: Highlights from LinkedIn Learning Courses")</f>
        <v>Mixtape: Highlights from LinkedIn Learning Courses</v>
      </c>
      <c r="F27" s="141"/>
      <c r="G27" s="134"/>
      <c r="H27" s="134"/>
      <c r="I27" s="134"/>
      <c r="J27" s="138">
        <f ca="1">IFERROR(__xludf.DUMMYFUNCTION("""COMPUTED_VALUE"""),518758)</f>
        <v>518758</v>
      </c>
      <c r="K27" s="138" t="str">
        <f ca="1">IFERROR(__xludf.DUMMYFUNCTION("""COMPUTED_VALUE"""),"Beginner")</f>
        <v>Beginner</v>
      </c>
      <c r="L27" s="139" t="str">
        <f ca="1">IFERROR(__xludf.DUMMYFUNCTION("""COMPUTED_VALUE"""),"Transitioning from Manager to Leader")</f>
        <v>Transitioning from Manager to Leader</v>
      </c>
      <c r="M27" s="141"/>
      <c r="N27" s="134"/>
      <c r="O27" s="134"/>
      <c r="P27" s="134"/>
      <c r="Q27" s="138">
        <f ca="1">IFERROR(__xludf.DUMMYFUNCTION("""COMPUTED_VALUE"""),2822414)</f>
        <v>2822414</v>
      </c>
      <c r="R27" s="138" t="str">
        <f ca="1">IFERROR(__xludf.DUMMYFUNCTION("""COMPUTED_VALUE"""),"Beginner + Intermediate")</f>
        <v>Beginner + Intermediate</v>
      </c>
      <c r="S27" s="139" t="str">
        <f ca="1">IFERROR(__xludf.DUMMYFUNCTION("""COMPUTED_VALUE"""),"Just Ask: Todd Dewett on Management and Leadership")</f>
        <v>Just Ask: Todd Dewett on Management and Leadership</v>
      </c>
      <c r="T27" s="141"/>
      <c r="U27" s="134"/>
      <c r="V27" s="134"/>
    </row>
    <row r="28" spans="1:22" ht="33.75" customHeight="1" x14ac:dyDescent="0.15">
      <c r="A28" s="134"/>
      <c r="B28" s="134"/>
      <c r="C28" s="138">
        <f ca="1">IFERROR(__xludf.DUMMYFUNCTION("""COMPUTED_VALUE"""),2808538)</f>
        <v>2808538</v>
      </c>
      <c r="D28" s="138" t="str">
        <f ca="1">IFERROR(__xludf.DUMMYFUNCTION("""COMPUTED_VALUE"""),"Beginner + Intermediate")</f>
        <v>Beginner + Intermediate</v>
      </c>
      <c r="E28" s="139" t="str">
        <f ca="1">IFERROR(__xludf.DUMMYFUNCTION("""COMPUTED_VALUE"""),"Being Your Own Fierce Self-Advocate")</f>
        <v>Being Your Own Fierce Self-Advocate</v>
      </c>
      <c r="F28" s="141"/>
      <c r="G28" s="134"/>
      <c r="H28" s="134"/>
      <c r="I28" s="134"/>
      <c r="J28" s="138">
        <f ca="1">IFERROR(__xludf.DUMMYFUNCTION("""COMPUTED_VALUE"""),2805907)</f>
        <v>2805907</v>
      </c>
      <c r="K28" s="138" t="str">
        <f ca="1">IFERROR(__xludf.DUMMYFUNCTION("""COMPUTED_VALUE"""),"Beginner")</f>
        <v>Beginner</v>
      </c>
      <c r="L28" s="139" t="str">
        <f ca="1">IFERROR(__xludf.DUMMYFUNCTION("""COMPUTED_VALUE"""),"Women Transforming Tech: Finding Sponsors")</f>
        <v>Women Transforming Tech: Finding Sponsors</v>
      </c>
      <c r="M28" s="141"/>
      <c r="N28" s="134"/>
      <c r="O28" s="134"/>
      <c r="P28" s="134"/>
      <c r="Q28" s="138">
        <f ca="1">IFERROR(__xludf.DUMMYFUNCTION("""COMPUTED_VALUE"""),2825332)</f>
        <v>2825332</v>
      </c>
      <c r="R28" s="138" t="str">
        <f ca="1">IFERROR(__xludf.DUMMYFUNCTION("""COMPUTED_VALUE"""),"Beginner + Intermediate")</f>
        <v>Beginner + Intermediate</v>
      </c>
      <c r="S28" s="139" t="str">
        <f ca="1">IFERROR(__xludf.DUMMYFUNCTION("""COMPUTED_VALUE"""),"Leading Virtual Meetings")</f>
        <v>Leading Virtual Meetings</v>
      </c>
      <c r="T28" s="141"/>
      <c r="U28" s="134"/>
      <c r="V28" s="134"/>
    </row>
    <row r="29" spans="1:22" ht="33.75" customHeight="1" x14ac:dyDescent="0.15">
      <c r="A29" s="134"/>
      <c r="B29" s="134"/>
      <c r="C29" s="138">
        <f ca="1">IFERROR(__xludf.DUMMYFUNCTION("""COMPUTED_VALUE"""),585010)</f>
        <v>585010</v>
      </c>
      <c r="D29" s="138" t="str">
        <f ca="1">IFERROR(__xludf.DUMMYFUNCTION("""COMPUTED_VALUE"""),"Beginner + Intermediate")</f>
        <v>Beginner + Intermediate</v>
      </c>
      <c r="E29" s="139" t="str">
        <f ca="1">IFERROR(__xludf.DUMMYFUNCTION("""COMPUTED_VALUE"""),"Leading with Innovation")</f>
        <v>Leading with Innovation</v>
      </c>
      <c r="F29" s="141"/>
      <c r="G29" s="134"/>
      <c r="H29" s="134"/>
      <c r="I29" s="134"/>
      <c r="J29" s="138">
        <f ca="1">IFERROR(__xludf.DUMMYFUNCTION("""COMPUTED_VALUE"""),2807859)</f>
        <v>2807859</v>
      </c>
      <c r="K29" s="138" t="str">
        <f ca="1">IFERROR(__xludf.DUMMYFUNCTION("""COMPUTED_VALUE"""),"Beginner")</f>
        <v>Beginner</v>
      </c>
      <c r="L29" s="139" t="str">
        <f ca="1">IFERROR(__xludf.DUMMYFUNCTION("""COMPUTED_VALUE"""),"Women Transforming Tech: Voices from the Field")</f>
        <v>Women Transforming Tech: Voices from the Field</v>
      </c>
      <c r="M29" s="141"/>
      <c r="N29" s="134"/>
      <c r="O29" s="134"/>
      <c r="P29" s="134"/>
      <c r="Q29" s="138">
        <f ca="1">IFERROR(__xludf.DUMMYFUNCTION("""COMPUTED_VALUE"""),2825161)</f>
        <v>2825161</v>
      </c>
      <c r="R29" s="138" t="str">
        <f ca="1">IFERROR(__xludf.DUMMYFUNCTION("""COMPUTED_VALUE"""),"Beginner + Intermediate")</f>
        <v>Beginner + Intermediate</v>
      </c>
      <c r="S29" s="139" t="str">
        <f ca="1">IFERROR(__xludf.DUMMYFUNCTION("""COMPUTED_VALUE"""),"Goal Setting: Objectives and Key Results (OKRs)")</f>
        <v>Goal Setting: Objectives and Key Results (OKRs)</v>
      </c>
      <c r="T29" s="141"/>
      <c r="U29" s="134"/>
      <c r="V29" s="134"/>
    </row>
    <row r="30" spans="1:22" ht="33.75" customHeight="1" x14ac:dyDescent="0.15">
      <c r="A30" s="134"/>
      <c r="B30" s="134"/>
      <c r="C30" s="138">
        <f ca="1">IFERROR(__xludf.DUMMYFUNCTION("""COMPUTED_VALUE"""),659269)</f>
        <v>659269</v>
      </c>
      <c r="D30" s="138" t="str">
        <f ca="1">IFERROR(__xludf.DUMMYFUNCTION("""COMPUTED_VALUE"""),"Beginner + Intermediate")</f>
        <v>Beginner + Intermediate</v>
      </c>
      <c r="E30" s="139" t="str">
        <f ca="1">IFERROR(__xludf.DUMMYFUNCTION("""COMPUTED_VALUE"""),"Managing Stress for Positive Change")</f>
        <v>Managing Stress for Positive Change</v>
      </c>
      <c r="F30" s="141"/>
      <c r="G30" s="134"/>
      <c r="H30" s="134"/>
      <c r="I30" s="134"/>
      <c r="J30" s="138">
        <f ca="1">IFERROR(__xludf.DUMMYFUNCTION("""COMPUTED_VALUE"""),2813255)</f>
        <v>2813255</v>
      </c>
      <c r="K30" s="138" t="str">
        <f ca="1">IFERROR(__xludf.DUMMYFUNCTION("""COMPUTED_VALUE"""),"Beginner")</f>
        <v>Beginner</v>
      </c>
      <c r="L30" s="139" t="str">
        <f ca="1">IFERROR(__xludf.DUMMYFUNCTION("""COMPUTED_VALUE"""),"Leadership Foundations")</f>
        <v>Leadership Foundations</v>
      </c>
      <c r="M30" s="141"/>
      <c r="N30" s="134"/>
      <c r="O30" s="134"/>
      <c r="P30" s="134"/>
      <c r="Q30" s="138">
        <f ca="1">IFERROR(__xludf.DUMMYFUNCTION("""COMPUTED_VALUE"""),2825489)</f>
        <v>2825489</v>
      </c>
      <c r="R30" s="138" t="str">
        <f ca="1">IFERROR(__xludf.DUMMYFUNCTION("""COMPUTED_VALUE"""),"Beginner + Intermediate")</f>
        <v>Beginner + Intermediate</v>
      </c>
      <c r="S30" s="139" t="str">
        <f ca="1">IFERROR(__xludf.DUMMYFUNCTION("""COMPUTED_VALUE"""),"Recognizing and Rewarding Your Workers")</f>
        <v>Recognizing and Rewarding Your Workers</v>
      </c>
      <c r="T30" s="141"/>
      <c r="U30" s="134"/>
      <c r="V30" s="134"/>
    </row>
    <row r="31" spans="1:22" ht="33.75" customHeight="1" x14ac:dyDescent="0.15">
      <c r="A31" s="134"/>
      <c r="B31" s="134"/>
      <c r="C31" s="138">
        <f ca="1">IFERROR(__xludf.DUMMYFUNCTION("""COMPUTED_VALUE"""),2835013)</f>
        <v>2835013</v>
      </c>
      <c r="D31" s="138" t="str">
        <f ca="1">IFERROR(__xludf.DUMMYFUNCTION("""COMPUTED_VALUE"""),"Beginner + Intermediate")</f>
        <v>Beginner + Intermediate</v>
      </c>
      <c r="E31" s="139" t="str">
        <f ca="1">IFERROR(__xludf.DUMMYFUNCTION("""COMPUTED_VALUE"""),"Building Change Capability for Managers")</f>
        <v>Building Change Capability for Managers</v>
      </c>
      <c r="F31" s="141"/>
      <c r="G31" s="134"/>
      <c r="H31" s="134"/>
      <c r="I31" s="134"/>
      <c r="J31" s="138">
        <f ca="1">IFERROR(__xludf.DUMMYFUNCTION("""COMPUTED_VALUE"""),2820052)</f>
        <v>2820052</v>
      </c>
      <c r="K31" s="138" t="str">
        <f ca="1">IFERROR(__xludf.DUMMYFUNCTION("""COMPUTED_VALUE"""),"Beginner")</f>
        <v>Beginner</v>
      </c>
      <c r="L31" s="139" t="str">
        <f ca="1">IFERROR(__xludf.DUMMYFUNCTION("""COMPUTED_VALUE"""),"Management Foundations")</f>
        <v>Management Foundations</v>
      </c>
      <c r="M31" s="141"/>
      <c r="N31" s="134"/>
      <c r="O31" s="134"/>
      <c r="P31" s="134"/>
      <c r="Q31" s="138">
        <f ca="1">IFERROR(__xludf.DUMMYFUNCTION("""COMPUTED_VALUE"""),802842)</f>
        <v>802842</v>
      </c>
      <c r="R31" s="138" t="str">
        <f ca="1">IFERROR(__xludf.DUMMYFUNCTION("""COMPUTED_VALUE"""),"Beginner + Intermediate")</f>
        <v>Beginner + Intermediate</v>
      </c>
      <c r="S31" s="139" t="str">
        <f ca="1">IFERROR(__xludf.DUMMYFUNCTION("""COMPUTED_VALUE"""),"Coaching and Developing Employees")</f>
        <v>Coaching and Developing Employees</v>
      </c>
      <c r="T31" s="141"/>
      <c r="U31" s="134"/>
      <c r="V31" s="134"/>
    </row>
    <row r="32" spans="1:22" ht="33.75" customHeight="1" x14ac:dyDescent="0.15">
      <c r="A32" s="134"/>
      <c r="B32" s="134"/>
      <c r="C32" s="138">
        <f ca="1">IFERROR(__xludf.DUMMYFUNCTION("""COMPUTED_VALUE"""),2241053)</f>
        <v>2241053</v>
      </c>
      <c r="D32" s="138" t="str">
        <f ca="1">IFERROR(__xludf.DUMMYFUNCTION("""COMPUTED_VALUE"""),"General")</f>
        <v>General</v>
      </c>
      <c r="E32" s="139" t="str">
        <f ca="1">IFERROR(__xludf.DUMMYFUNCTION("""COMPUTED_VALUE"""),"Leading Organizations: Ten Timeless Truths (getAbstract Summary)")</f>
        <v>Leading Organizations: Ten Timeless Truths (getAbstract Summary)</v>
      </c>
      <c r="F32" s="141"/>
      <c r="G32" s="134"/>
      <c r="H32" s="134"/>
      <c r="I32" s="134"/>
      <c r="J32" s="138">
        <f ca="1">IFERROR(__xludf.DUMMYFUNCTION("""COMPUTED_VALUE"""),2823296)</f>
        <v>2823296</v>
      </c>
      <c r="K32" s="138" t="str">
        <f ca="1">IFERROR(__xludf.DUMMYFUNCTION("""COMPUTED_VALUE"""),"Beginner")</f>
        <v>Beginner</v>
      </c>
      <c r="L32" s="139" t="str">
        <f ca="1">IFERROR(__xludf.DUMMYFUNCTION("""COMPUTED_VALUE"""),"Implementing Continuous Improvement: A Case Study")</f>
        <v>Implementing Continuous Improvement: A Case Study</v>
      </c>
      <c r="M32" s="141"/>
      <c r="N32" s="134"/>
      <c r="O32" s="134"/>
      <c r="P32" s="134"/>
      <c r="Q32" s="138">
        <f ca="1">IFERROR(__xludf.DUMMYFUNCTION("""COMPUTED_VALUE"""),661750)</f>
        <v>661750</v>
      </c>
      <c r="R32" s="138" t="str">
        <f ca="1">IFERROR(__xludf.DUMMYFUNCTION("""COMPUTED_VALUE"""),"Beginner + Intermediate")</f>
        <v>Beginner + Intermediate</v>
      </c>
      <c r="S32" s="139" t="str">
        <f ca="1">IFERROR(__xludf.DUMMYFUNCTION("""COMPUTED_VALUE"""),"Improving Employee Performance")</f>
        <v>Improving Employee Performance</v>
      </c>
      <c r="T32" s="141"/>
      <c r="U32" s="134"/>
      <c r="V32" s="134"/>
    </row>
    <row r="33" spans="1:22" ht="33.75" customHeight="1" x14ac:dyDescent="0.15">
      <c r="A33" s="134"/>
      <c r="B33" s="134"/>
      <c r="C33" s="138">
        <f ca="1">IFERROR(__xludf.DUMMYFUNCTION("""COMPUTED_VALUE"""),2242045)</f>
        <v>2242045</v>
      </c>
      <c r="D33" s="138" t="str">
        <f ca="1">IFERROR(__xludf.DUMMYFUNCTION("""COMPUTED_VALUE"""),"General")</f>
        <v>General</v>
      </c>
      <c r="E33" s="139" t="str">
        <f ca="1">IFERROR(__xludf.DUMMYFUNCTION("""COMPUTED_VALUE"""),"The Purpose Effect (getAbstract Summary)")</f>
        <v>The Purpose Effect (getAbstract Summary)</v>
      </c>
      <c r="F33" s="141"/>
      <c r="G33" s="134"/>
      <c r="H33" s="134"/>
      <c r="I33" s="134"/>
      <c r="J33" s="138">
        <f ca="1">IFERROR(__xludf.DUMMYFUNCTION("""COMPUTED_VALUE"""),2823297)</f>
        <v>2823297</v>
      </c>
      <c r="K33" s="138" t="str">
        <f ca="1">IFERROR(__xludf.DUMMYFUNCTION("""COMPUTED_VALUE"""),"Beginner")</f>
        <v>Beginner</v>
      </c>
      <c r="L33" s="139" t="str">
        <f ca="1">IFERROR(__xludf.DUMMYFUNCTION("""COMPUTED_VALUE"""),"Culture of Kaizen")</f>
        <v>Culture of Kaizen</v>
      </c>
      <c r="M33" s="141"/>
      <c r="N33" s="134"/>
      <c r="O33" s="134"/>
      <c r="P33" s="134"/>
      <c r="Q33" s="138">
        <f ca="1">IFERROR(__xludf.DUMMYFUNCTION("""COMPUTED_VALUE"""),721911)</f>
        <v>721911</v>
      </c>
      <c r="R33" s="138" t="str">
        <f ca="1">IFERROR(__xludf.DUMMYFUNCTION("""COMPUTED_VALUE"""),"Beginner + Intermediate")</f>
        <v>Beginner + Intermediate</v>
      </c>
      <c r="S33" s="139" t="str">
        <f ca="1">IFERROR(__xludf.DUMMYFUNCTION("""COMPUTED_VALUE"""),"Management: Top Tips")</f>
        <v>Management: Top Tips</v>
      </c>
      <c r="T33" s="141"/>
      <c r="U33" s="134"/>
      <c r="V33" s="134"/>
    </row>
    <row r="34" spans="1:22" ht="33.75" customHeight="1" x14ac:dyDescent="0.15">
      <c r="A34" s="134"/>
      <c r="B34" s="134"/>
      <c r="C34" s="138">
        <f ca="1">IFERROR(__xludf.DUMMYFUNCTION("""COMPUTED_VALUE"""),2243048)</f>
        <v>2243048</v>
      </c>
      <c r="D34" s="138" t="str">
        <f ca="1">IFERROR(__xludf.DUMMYFUNCTION("""COMPUTED_VALUE"""),"General")</f>
        <v>General</v>
      </c>
      <c r="E34" s="139" t="str">
        <f ca="1">IFERROR(__xludf.DUMMYFUNCTION("""COMPUTED_VALUE"""),"The Courage Habit (getAbstract Summary)")</f>
        <v>The Courage Habit (getAbstract Summary)</v>
      </c>
      <c r="F34" s="141"/>
      <c r="G34" s="134"/>
      <c r="H34" s="134"/>
      <c r="I34" s="134"/>
      <c r="J34" s="138">
        <f ca="1">IFERROR(__xludf.DUMMYFUNCTION("""COMPUTED_VALUE"""),2822456)</f>
        <v>2822456</v>
      </c>
      <c r="K34" s="138" t="str">
        <f ca="1">IFERROR(__xludf.DUMMYFUNCTION("""COMPUTED_VALUE"""),"Beginner")</f>
        <v>Beginner</v>
      </c>
      <c r="L34" s="139" t="str">
        <f ca="1">IFERROR(__xludf.DUMMYFUNCTION("""COMPUTED_VALUE"""),"Developing Assertive Leadership")</f>
        <v>Developing Assertive Leadership</v>
      </c>
      <c r="M34" s="141"/>
      <c r="N34" s="134"/>
      <c r="O34" s="134"/>
      <c r="P34" s="134"/>
      <c r="Q34" s="138">
        <f ca="1">IFERROR(__xludf.DUMMYFUNCTION("""COMPUTED_VALUE"""),746304)</f>
        <v>746304</v>
      </c>
      <c r="R34" s="138" t="str">
        <f ca="1">IFERROR(__xludf.DUMMYFUNCTION("""COMPUTED_VALUE"""),"Beginner + Intermediate")</f>
        <v>Beginner + Intermediate</v>
      </c>
      <c r="S34" s="139" t="str">
        <f ca="1">IFERROR(__xludf.DUMMYFUNCTION("""COMPUTED_VALUE"""),"Managing Teams")</f>
        <v>Managing Teams</v>
      </c>
      <c r="T34" s="141"/>
      <c r="U34" s="134"/>
      <c r="V34" s="134"/>
    </row>
    <row r="35" spans="1:22" ht="33.75" customHeight="1" x14ac:dyDescent="0.15">
      <c r="A35" s="134"/>
      <c r="B35" s="134"/>
      <c r="C35" s="138">
        <f ca="1">IFERROR(__xludf.DUMMYFUNCTION("""COMPUTED_VALUE"""),2813223)</f>
        <v>2813223</v>
      </c>
      <c r="D35" s="138" t="str">
        <f ca="1">IFERROR(__xludf.DUMMYFUNCTION("""COMPUTED_VALUE"""),"General")</f>
        <v>General</v>
      </c>
      <c r="E35" s="139" t="str">
        <f ca="1">IFERROR(__xludf.DUMMYFUNCTION("""COMPUTED_VALUE"""),"Leading like a Futurist")</f>
        <v>Leading like a Futurist</v>
      </c>
      <c r="F35" s="141"/>
      <c r="G35" s="134"/>
      <c r="H35" s="134"/>
      <c r="I35" s="134"/>
      <c r="J35" s="138">
        <f ca="1">IFERROR(__xludf.DUMMYFUNCTION("""COMPUTED_VALUE"""),2297061)</f>
        <v>2297061</v>
      </c>
      <c r="K35" s="138" t="str">
        <f ca="1">IFERROR(__xludf.DUMMYFUNCTION("""COMPUTED_VALUE"""),"Beginner")</f>
        <v>Beginner</v>
      </c>
      <c r="L35" s="139" t="str">
        <f ca="1">IFERROR(__xludf.DUMMYFUNCTION("""COMPUTED_VALUE"""),"Become a Courageous Female Leader")</f>
        <v>Become a Courageous Female Leader</v>
      </c>
      <c r="M35" s="141"/>
      <c r="N35" s="134"/>
      <c r="O35" s="134"/>
      <c r="P35" s="134"/>
      <c r="Q35" s="138">
        <f ca="1">IFERROR(__xludf.DUMMYFUNCTION("""COMPUTED_VALUE"""),664803)</f>
        <v>664803</v>
      </c>
      <c r="R35" s="138" t="str">
        <f ca="1">IFERROR(__xludf.DUMMYFUNCTION("""COMPUTED_VALUE"""),"Beginner + Intermediate")</f>
        <v>Beginner + Intermediate</v>
      </c>
      <c r="S35" s="139" t="str">
        <f ca="1">IFERROR(__xludf.DUMMYFUNCTION("""COMPUTED_VALUE"""),"Managing Temporary and Contract Employees")</f>
        <v>Managing Temporary and Contract Employees</v>
      </c>
      <c r="T35" s="141"/>
      <c r="U35" s="134"/>
      <c r="V35" s="134"/>
    </row>
    <row r="36" spans="1:22" ht="33.75" customHeight="1" x14ac:dyDescent="0.15">
      <c r="A36" s="134"/>
      <c r="B36" s="134"/>
      <c r="C36" s="138">
        <f ca="1">IFERROR(__xludf.DUMMYFUNCTION("""COMPUTED_VALUE"""),2825691)</f>
        <v>2825691</v>
      </c>
      <c r="D36" s="138" t="str">
        <f ca="1">IFERROR(__xludf.DUMMYFUNCTION("""COMPUTED_VALUE"""),"General")</f>
        <v>General</v>
      </c>
      <c r="E36" s="139" t="str">
        <f ca="1">IFERROR(__xludf.DUMMYFUNCTION("""COMPUTED_VALUE"""),"The Employee's Guide to Sustainability")</f>
        <v>The Employee's Guide to Sustainability</v>
      </c>
      <c r="F36" s="141"/>
      <c r="G36" s="134"/>
      <c r="H36" s="134"/>
      <c r="I36" s="134"/>
      <c r="J36" s="138">
        <f ca="1">IFERROR(__xludf.DUMMYFUNCTION("""COMPUTED_VALUE"""),2974166)</f>
        <v>2974166</v>
      </c>
      <c r="K36" s="138" t="str">
        <f ca="1">IFERROR(__xludf.DUMMYFUNCTION("""COMPUTED_VALUE"""),"Beginner")</f>
        <v>Beginner</v>
      </c>
      <c r="L36" s="139" t="str">
        <f ca="1">IFERROR(__xludf.DUMMYFUNCTION("""COMPUTED_VALUE"""),"Leadership Fundamentals")</f>
        <v>Leadership Fundamentals</v>
      </c>
      <c r="M36" s="141"/>
      <c r="N36" s="134"/>
      <c r="O36" s="134"/>
      <c r="P36" s="134"/>
      <c r="Q36" s="138">
        <f ca="1">IFERROR(__xludf.DUMMYFUNCTION("""COMPUTED_VALUE"""),688508)</f>
        <v>688508</v>
      </c>
      <c r="R36" s="138" t="str">
        <f ca="1">IFERROR(__xludf.DUMMYFUNCTION("""COMPUTED_VALUE"""),"Beginner + Intermediate")</f>
        <v>Beginner + Intermediate</v>
      </c>
      <c r="S36" s="139" t="str">
        <f ca="1">IFERROR(__xludf.DUMMYFUNCTION("""COMPUTED_VALUE"""),"Motivating and Engaging Employees")</f>
        <v>Motivating and Engaging Employees</v>
      </c>
      <c r="T36" s="141"/>
      <c r="U36" s="134"/>
      <c r="V36" s="134"/>
    </row>
    <row r="37" spans="1:22" ht="33.75" customHeight="1" x14ac:dyDescent="0.15">
      <c r="A37" s="134"/>
      <c r="B37" s="134"/>
      <c r="C37" s="138">
        <f ca="1">IFERROR(__xludf.DUMMYFUNCTION("""COMPUTED_VALUE"""),2825458)</f>
        <v>2825458</v>
      </c>
      <c r="D37" s="138" t="str">
        <f ca="1">IFERROR(__xludf.DUMMYFUNCTION("""COMPUTED_VALUE"""),"General")</f>
        <v>General</v>
      </c>
      <c r="E37" s="139" t="str">
        <f ca="1">IFERROR(__xludf.DUMMYFUNCTION("""COMPUTED_VALUE"""),"Emily Cohen: Brutal Honesty as a Business Strategy")</f>
        <v>Emily Cohen: Brutal Honesty as a Business Strategy</v>
      </c>
      <c r="F37" s="141"/>
      <c r="G37" s="134"/>
      <c r="H37" s="134"/>
      <c r="I37" s="134"/>
      <c r="J37" s="138">
        <f ca="1">IFERROR(__xludf.DUMMYFUNCTION("""COMPUTED_VALUE"""),2974167)</f>
        <v>2974167</v>
      </c>
      <c r="K37" s="138" t="str">
        <f ca="1">IFERROR(__xludf.DUMMYFUNCTION("""COMPUTED_VALUE"""),"Beginner")</f>
        <v>Beginner</v>
      </c>
      <c r="L37" s="139" t="str">
        <f ca="1">IFERROR(__xludf.DUMMYFUNCTION("""COMPUTED_VALUE"""),"Work on Purpose")</f>
        <v>Work on Purpose</v>
      </c>
      <c r="M37" s="141"/>
      <c r="N37" s="134"/>
      <c r="O37" s="134"/>
      <c r="P37" s="134"/>
      <c r="Q37" s="138">
        <f ca="1">IFERROR(__xludf.DUMMYFUNCTION("""COMPUTED_VALUE"""),2835013)</f>
        <v>2835013</v>
      </c>
      <c r="R37" s="138" t="str">
        <f ca="1">IFERROR(__xludf.DUMMYFUNCTION("""COMPUTED_VALUE"""),"Beginner + Intermediate")</f>
        <v>Beginner + Intermediate</v>
      </c>
      <c r="S37" s="139" t="str">
        <f ca="1">IFERROR(__xludf.DUMMYFUNCTION("""COMPUTED_VALUE"""),"Building Change Capability for Managers")</f>
        <v>Building Change Capability for Managers</v>
      </c>
      <c r="T37" s="141"/>
      <c r="U37" s="134"/>
      <c r="V37" s="134"/>
    </row>
    <row r="38" spans="1:22" ht="33.75" customHeight="1" x14ac:dyDescent="0.15">
      <c r="A38" s="134"/>
      <c r="B38" s="134"/>
      <c r="C38" s="138">
        <f ca="1">IFERROR(__xludf.DUMMYFUNCTION("""COMPUTED_VALUE"""),2809355)</f>
        <v>2809355</v>
      </c>
      <c r="D38" s="138" t="str">
        <f ca="1">IFERROR(__xludf.DUMMYFUNCTION("""COMPUTED_VALUE"""),"General")</f>
        <v>General</v>
      </c>
      <c r="E38" s="139" t="str">
        <f ca="1">IFERROR(__xludf.DUMMYFUNCTION("""COMPUTED_VALUE"""),"Body Language for Leaders")</f>
        <v>Body Language for Leaders</v>
      </c>
      <c r="F38" s="141"/>
      <c r="G38" s="134"/>
      <c r="H38" s="134"/>
      <c r="I38" s="134"/>
      <c r="J38" s="138">
        <f ca="1">IFERROR(__xludf.DUMMYFUNCTION("""COMPUTED_VALUE"""),2864190)</f>
        <v>2864190</v>
      </c>
      <c r="K38" s="138" t="str">
        <f ca="1">IFERROR(__xludf.DUMMYFUNCTION("""COMPUTED_VALUE"""),"Beginner")</f>
        <v>Beginner</v>
      </c>
      <c r="L38" s="139" t="str">
        <f ca="1">IFERROR(__xludf.DUMMYFUNCTION("""COMPUTED_VALUE"""),"Superhuman Innovation (Blinkist Summary)")</f>
        <v>Superhuman Innovation (Blinkist Summary)</v>
      </c>
      <c r="M38" s="141"/>
      <c r="N38" s="134"/>
      <c r="O38" s="134"/>
      <c r="P38" s="134"/>
      <c r="Q38" s="138">
        <f ca="1">IFERROR(__xludf.DUMMYFUNCTION("""COMPUTED_VALUE"""),5038200)</f>
        <v>5038200</v>
      </c>
      <c r="R38" s="138" t="str">
        <f ca="1">IFERROR(__xludf.DUMMYFUNCTION("""COMPUTED_VALUE"""),"General")</f>
        <v>General</v>
      </c>
      <c r="S38" s="139" t="str">
        <f ca="1">IFERROR(__xludf.DUMMYFUNCTION("""COMPUTED_VALUE"""),"Managing Generation Z")</f>
        <v>Managing Generation Z</v>
      </c>
      <c r="T38" s="141"/>
      <c r="U38" s="134"/>
      <c r="V38" s="134"/>
    </row>
    <row r="39" spans="1:22" ht="33.75" customHeight="1" x14ac:dyDescent="0.15">
      <c r="A39" s="134"/>
      <c r="B39" s="134"/>
      <c r="C39" s="138">
        <f ca="1">IFERROR(__xludf.DUMMYFUNCTION("""COMPUTED_VALUE"""),2811712)</f>
        <v>2811712</v>
      </c>
      <c r="D39" s="138" t="str">
        <f ca="1">IFERROR(__xludf.DUMMYFUNCTION("""COMPUTED_VALUE"""),"General")</f>
        <v>General</v>
      </c>
      <c r="E39" s="139" t="str">
        <f ca="1">IFERROR(__xludf.DUMMYFUNCTION("""COMPUTED_VALUE"""),"Aaron Dignan on Transformational Change")</f>
        <v>Aaron Dignan on Transformational Change</v>
      </c>
      <c r="F39" s="141"/>
      <c r="G39" s="134"/>
      <c r="H39" s="134"/>
      <c r="I39" s="134"/>
      <c r="J39" s="138">
        <f ca="1">IFERROR(__xludf.DUMMYFUNCTION("""COMPUTED_VALUE"""),2825698)</f>
        <v>2825698</v>
      </c>
      <c r="K39" s="138" t="str">
        <f ca="1">IFERROR(__xludf.DUMMYFUNCTION("""COMPUTED_VALUE"""),"Beginner")</f>
        <v>Beginner</v>
      </c>
      <c r="L39" s="143" t="str">
        <f ca="1">IFERROR(__xludf.DUMMYFUNCTION("""COMPUTED_VALUE"""),"Inclusive Mindset")</f>
        <v>Inclusive Mindset</v>
      </c>
      <c r="M39" s="141"/>
      <c r="N39" s="134"/>
      <c r="O39" s="134"/>
      <c r="P39" s="134"/>
      <c r="Q39" s="138">
        <f ca="1">IFERROR(__xludf.DUMMYFUNCTION("""COMPUTED_VALUE"""),2241058)</f>
        <v>2241058</v>
      </c>
      <c r="R39" s="138" t="str">
        <f ca="1">IFERROR(__xludf.DUMMYFUNCTION("""COMPUTED_VALUE"""),"General")</f>
        <v>General</v>
      </c>
      <c r="S39" s="139" t="str">
        <f ca="1">IFERROR(__xludf.DUMMYFUNCTION("""COMPUTED_VALUE"""),"Why Motivating People Doesn’t Work . . . and What Does (getAbstract Summary)")</f>
        <v>Why Motivating People Doesn’t Work . . . and What Does (getAbstract Summary)</v>
      </c>
      <c r="T39" s="141"/>
      <c r="U39" s="134"/>
      <c r="V39" s="134"/>
    </row>
    <row r="40" spans="1:22" ht="33.75" customHeight="1" x14ac:dyDescent="0.15">
      <c r="A40" s="134"/>
      <c r="B40" s="134"/>
      <c r="C40" s="138">
        <f ca="1">IFERROR(__xludf.DUMMYFUNCTION("""COMPUTED_VALUE"""),2839077)</f>
        <v>2839077</v>
      </c>
      <c r="D40" s="138" t="str">
        <f ca="1">IFERROR(__xludf.DUMMYFUNCTION("""COMPUTED_VALUE"""),"General")</f>
        <v>General</v>
      </c>
      <c r="E40" s="139" t="str">
        <f ca="1">IFERROR(__xludf.DUMMYFUNCTION("""COMPUTED_VALUE"""),"Reframing Organizations (Blinkist Summary)")</f>
        <v>Reframing Organizations (Blinkist Summary)</v>
      </c>
      <c r="F40" s="141"/>
      <c r="G40" s="134"/>
      <c r="H40" s="134"/>
      <c r="I40" s="134"/>
      <c r="J40" s="138">
        <f ca="1">IFERROR(__xludf.DUMMYFUNCTION("""COMPUTED_VALUE"""),2834000)</f>
        <v>2834000</v>
      </c>
      <c r="K40" s="138" t="str">
        <f ca="1">IFERROR(__xludf.DUMMYFUNCTION("""COMPUTED_VALUE"""),"Beginner")</f>
        <v>Beginner</v>
      </c>
      <c r="L40" s="139" t="str">
        <f ca="1">IFERROR(__xludf.DUMMYFUNCTION("""COMPUTED_VALUE"""),"Project Leadership")</f>
        <v>Project Leadership</v>
      </c>
      <c r="M40" s="141"/>
      <c r="N40" s="134"/>
      <c r="O40" s="134"/>
      <c r="P40" s="134"/>
      <c r="Q40" s="138">
        <f ca="1">IFERROR(__xludf.DUMMYFUNCTION("""COMPUTED_VALUE"""),2837192)</f>
        <v>2837192</v>
      </c>
      <c r="R40" s="138" t="str">
        <f ca="1">IFERROR(__xludf.DUMMYFUNCTION("""COMPUTED_VALUE"""),"General")</f>
        <v>General</v>
      </c>
      <c r="S40" s="139" t="str">
        <f ca="1">IFERROR(__xludf.DUMMYFUNCTION("""COMPUTED_VALUE"""),"Advice for Leaders During a Crisis")</f>
        <v>Advice for Leaders During a Crisis</v>
      </c>
      <c r="T40" s="141"/>
      <c r="U40" s="134"/>
      <c r="V40" s="134"/>
    </row>
    <row r="41" spans="1:22" ht="33.75" customHeight="1" x14ac:dyDescent="0.15">
      <c r="A41" s="134"/>
      <c r="B41" s="134"/>
      <c r="C41" s="138">
        <f ca="1">IFERROR(__xludf.DUMMYFUNCTION("""COMPUTED_VALUE"""),2864030)</f>
        <v>2864030</v>
      </c>
      <c r="D41" s="138" t="str">
        <f ca="1">IFERROR(__xludf.DUMMYFUNCTION("""COMPUTED_VALUE"""),"General")</f>
        <v>General</v>
      </c>
      <c r="E41" s="139" t="str">
        <f ca="1">IFERROR(__xludf.DUMMYFUNCTION("""COMPUTED_VALUE"""),"Driving Change and Anti-Racism")</f>
        <v>Driving Change and Anti-Racism</v>
      </c>
      <c r="F41" s="141"/>
      <c r="G41" s="134"/>
      <c r="H41" s="134"/>
      <c r="I41" s="134"/>
      <c r="J41" s="138">
        <f ca="1">IFERROR(__xludf.DUMMYFUNCTION("""COMPUTED_VALUE"""),756283)</f>
        <v>756283</v>
      </c>
      <c r="K41" s="138" t="str">
        <f ca="1">IFERROR(__xludf.DUMMYFUNCTION("""COMPUTED_VALUE"""),"Beginner + Intermediate")</f>
        <v>Beginner + Intermediate</v>
      </c>
      <c r="L41" s="139" t="str">
        <f ca="1">IFERROR(__xludf.DUMMYFUNCTION("""COMPUTED_VALUE"""),"Leading with Emotional Intelligence")</f>
        <v>Leading with Emotional Intelligence</v>
      </c>
      <c r="M41" s="141"/>
      <c r="N41" s="134"/>
      <c r="O41" s="134"/>
      <c r="P41" s="134"/>
      <c r="Q41" s="138">
        <f ca="1">IFERROR(__xludf.DUMMYFUNCTION("""COMPUTED_VALUE"""),2836029)</f>
        <v>2836029</v>
      </c>
      <c r="R41" s="138" t="str">
        <f ca="1">IFERROR(__xludf.DUMMYFUNCTION("""COMPUTED_VALUE"""),"General")</f>
        <v>General</v>
      </c>
      <c r="S41" s="139" t="str">
        <f ca="1">IFERROR(__xludf.DUMMYFUNCTION("""COMPUTED_VALUE"""),"The Eight Essential People Skills for Project Management (Blinkist Summary)")</f>
        <v>The Eight Essential People Skills for Project Management (Blinkist Summary)</v>
      </c>
      <c r="T41" s="141"/>
      <c r="U41" s="134"/>
      <c r="V41" s="134"/>
    </row>
    <row r="42" spans="1:22" ht="33.75" customHeight="1" x14ac:dyDescent="0.15">
      <c r="A42" s="134"/>
      <c r="B42" s="134"/>
      <c r="C42" s="138">
        <f ca="1">IFERROR(__xludf.DUMMYFUNCTION("""COMPUTED_VALUE"""),2848235)</f>
        <v>2848235</v>
      </c>
      <c r="D42" s="138" t="str">
        <f ca="1">IFERROR(__xludf.DUMMYFUNCTION("""COMPUTED_VALUE"""),"General")</f>
        <v>General</v>
      </c>
      <c r="E42" s="139" t="str">
        <f ca="1">IFERROR(__xludf.DUMMYFUNCTION("""COMPUTED_VALUE"""),"A Manager's Toolkit for Supporting Change")</f>
        <v>A Manager's Toolkit for Supporting Change</v>
      </c>
      <c r="F42" s="141"/>
      <c r="G42" s="134"/>
      <c r="H42" s="134"/>
      <c r="I42" s="134"/>
      <c r="J42" s="138">
        <f ca="1">IFERROR(__xludf.DUMMYFUNCTION("""COMPUTED_VALUE"""),585010)</f>
        <v>585010</v>
      </c>
      <c r="K42" s="138" t="str">
        <f ca="1">IFERROR(__xludf.DUMMYFUNCTION("""COMPUTED_VALUE"""),"Beginner + Intermediate")</f>
        <v>Beginner + Intermediate</v>
      </c>
      <c r="L42" s="139" t="str">
        <f ca="1">IFERROR(__xludf.DUMMYFUNCTION("""COMPUTED_VALUE"""),"Leading with Innovation")</f>
        <v>Leading with Innovation</v>
      </c>
      <c r="M42" s="141"/>
      <c r="N42" s="134"/>
      <c r="O42" s="134"/>
      <c r="P42" s="134"/>
      <c r="Q42" s="138">
        <f ca="1">IFERROR(__xludf.DUMMYFUNCTION("""COMPUTED_VALUE"""),2837265)</f>
        <v>2837265</v>
      </c>
      <c r="R42" s="138" t="str">
        <f ca="1">IFERROR(__xludf.DUMMYFUNCTION("""COMPUTED_VALUE"""),"General")</f>
        <v>General</v>
      </c>
      <c r="S42" s="139" t="str">
        <f ca="1">IFERROR(__xludf.DUMMYFUNCTION("""COMPUTED_VALUE"""),"Sales Management. Simplified. (Blinkist Summary)")</f>
        <v>Sales Management. Simplified. (Blinkist Summary)</v>
      </c>
      <c r="T42" s="141"/>
      <c r="U42" s="134"/>
      <c r="V42" s="134"/>
    </row>
    <row r="43" spans="1:22" ht="33.75" customHeight="1" x14ac:dyDescent="0.15">
      <c r="A43" s="134"/>
      <c r="B43" s="134"/>
      <c r="C43" s="138">
        <f ca="1">IFERROR(__xludf.DUMMYFUNCTION("""COMPUTED_VALUE"""),2849189)</f>
        <v>2849189</v>
      </c>
      <c r="D43" s="138" t="str">
        <f ca="1">IFERROR(__xludf.DUMMYFUNCTION("""COMPUTED_VALUE"""),"General")</f>
        <v>General</v>
      </c>
      <c r="E43" s="139" t="str">
        <f ca="1">IFERROR(__xludf.DUMMYFUNCTION("""COMPUTED_VALUE"""),"Leading Change in Large, Distributed Organizations")</f>
        <v>Leading Change in Large, Distributed Organizations</v>
      </c>
      <c r="F43" s="141"/>
      <c r="G43" s="134"/>
      <c r="H43" s="134"/>
      <c r="I43" s="134"/>
      <c r="J43" s="138">
        <f ca="1">IFERROR(__xludf.DUMMYFUNCTION("""COMPUTED_VALUE"""),777382)</f>
        <v>777382</v>
      </c>
      <c r="K43" s="138" t="str">
        <f ca="1">IFERROR(__xludf.DUMMYFUNCTION("""COMPUTED_VALUE"""),"Beginner + Intermediate")</f>
        <v>Beginner + Intermediate</v>
      </c>
      <c r="L43" s="139" t="str">
        <f ca="1">IFERROR(__xludf.DUMMYFUNCTION("""COMPUTED_VALUE"""),"Transformational Leadership")</f>
        <v>Transformational Leadership</v>
      </c>
      <c r="M43" s="141"/>
      <c r="N43" s="134"/>
      <c r="O43" s="134"/>
      <c r="P43" s="134"/>
      <c r="Q43" s="138">
        <f ca="1">IFERROR(__xludf.DUMMYFUNCTION("""COMPUTED_VALUE"""),2849190)</f>
        <v>2849190</v>
      </c>
      <c r="R43" s="138" t="str">
        <f ca="1">IFERROR(__xludf.DUMMYFUNCTION("""COMPUTED_VALUE"""),"General")</f>
        <v>General</v>
      </c>
      <c r="S43" s="139" t="str">
        <f ca="1">IFERROR(__xludf.DUMMYFUNCTION("""COMPUTED_VALUE"""),"Leading and Managing the Whole Self")</f>
        <v>Leading and Managing the Whole Self</v>
      </c>
      <c r="T43" s="141"/>
      <c r="U43" s="134"/>
      <c r="V43" s="134"/>
    </row>
    <row r="44" spans="1:22" ht="33.75" customHeight="1" x14ac:dyDescent="0.15">
      <c r="A44" s="134"/>
      <c r="B44" s="134"/>
      <c r="C44" s="138">
        <f ca="1">IFERROR(__xludf.DUMMYFUNCTION("""COMPUTED_VALUE"""),2849190)</f>
        <v>2849190</v>
      </c>
      <c r="D44" s="138" t="str">
        <f ca="1">IFERROR(__xludf.DUMMYFUNCTION("""COMPUTED_VALUE"""),"General")</f>
        <v>General</v>
      </c>
      <c r="E44" s="139" t="str">
        <f ca="1">IFERROR(__xludf.DUMMYFUNCTION("""COMPUTED_VALUE"""),"Leading and Managing the Whole Self")</f>
        <v>Leading and Managing the Whole Self</v>
      </c>
      <c r="F44" s="141"/>
      <c r="G44" s="134"/>
      <c r="H44" s="134"/>
      <c r="I44" s="134"/>
      <c r="J44" s="138">
        <f ca="1">IFERROR(__xludf.DUMMYFUNCTION("""COMPUTED_VALUE"""),2241053)</f>
        <v>2241053</v>
      </c>
      <c r="K44" s="138" t="str">
        <f ca="1">IFERROR(__xludf.DUMMYFUNCTION("""COMPUTED_VALUE"""),"General")</f>
        <v>General</v>
      </c>
      <c r="L44" s="139" t="str">
        <f ca="1">IFERROR(__xludf.DUMMYFUNCTION("""COMPUTED_VALUE"""),"Leading Organizations: Ten Timeless Truths (getAbstract Summary)")</f>
        <v>Leading Organizations: Ten Timeless Truths (getAbstract Summary)</v>
      </c>
      <c r="M44" s="141"/>
      <c r="N44" s="134"/>
      <c r="O44" s="134"/>
      <c r="P44" s="134"/>
      <c r="Q44" s="138">
        <f ca="1">IFERROR(__xludf.DUMMYFUNCTION("""COMPUTED_VALUE"""),2848239)</f>
        <v>2848239</v>
      </c>
      <c r="R44" s="138" t="str">
        <f ca="1">IFERROR(__xludf.DUMMYFUNCTION("""COMPUTED_VALUE"""),"General")</f>
        <v>General</v>
      </c>
      <c r="S44" s="139" t="str">
        <f ca="1">IFERROR(__xludf.DUMMYFUNCTION("""COMPUTED_VALUE"""),"Managing Remote Teams: Setting Expectations, Behaviors, and Habits")</f>
        <v>Managing Remote Teams: Setting Expectations, Behaviors, and Habits</v>
      </c>
      <c r="T44" s="141"/>
      <c r="U44" s="134"/>
      <c r="V44" s="134"/>
    </row>
    <row r="45" spans="1:22" ht="33.75" customHeight="1" x14ac:dyDescent="0.15">
      <c r="A45" s="134"/>
      <c r="B45" s="134"/>
      <c r="C45" s="138">
        <f ca="1">IFERROR(__xludf.DUMMYFUNCTION("""COMPUTED_VALUE"""),2833088)</f>
        <v>2833088</v>
      </c>
      <c r="D45" s="138" t="str">
        <f ca="1">IFERROR(__xludf.DUMMYFUNCTION("""COMPUTED_VALUE"""),"General")</f>
        <v>General</v>
      </c>
      <c r="E45" s="139" t="str">
        <f ca="1">IFERROR(__xludf.DUMMYFUNCTION("""COMPUTED_VALUE"""),"Using Emotions to Leverage and Accelerate Change: A Guide for Leaders")</f>
        <v>Using Emotions to Leverage and Accelerate Change: A Guide for Leaders</v>
      </c>
      <c r="F45" s="141"/>
      <c r="G45" s="134"/>
      <c r="H45" s="134"/>
      <c r="I45" s="134"/>
      <c r="J45" s="138">
        <f ca="1">IFERROR(__xludf.DUMMYFUNCTION("""COMPUTED_VALUE"""),2242036)</f>
        <v>2242036</v>
      </c>
      <c r="K45" s="138" t="str">
        <f ca="1">IFERROR(__xludf.DUMMYFUNCTION("""COMPUTED_VALUE"""),"General")</f>
        <v>General</v>
      </c>
      <c r="L45" s="139" t="str">
        <f ca="1">IFERROR(__xludf.DUMMYFUNCTION("""COMPUTED_VALUE"""),"Humble Inquiry: The Gentle Art of Asking Instead of Telling (getAbstract Summary)")</f>
        <v>Humble Inquiry: The Gentle Art of Asking Instead of Telling (getAbstract Summary)</v>
      </c>
      <c r="M45" s="141"/>
      <c r="N45" s="134"/>
      <c r="O45" s="134"/>
      <c r="P45" s="134"/>
      <c r="Q45" s="138">
        <f ca="1">IFERROR(__xludf.DUMMYFUNCTION("""COMPUTED_VALUE"""),2848236)</f>
        <v>2848236</v>
      </c>
      <c r="R45" s="138" t="str">
        <f ca="1">IFERROR(__xludf.DUMMYFUNCTION("""COMPUTED_VALUE"""),"Intermediate")</f>
        <v>Intermediate</v>
      </c>
      <c r="S45" s="139" t="str">
        <f ca="1">IFERROR(__xludf.DUMMYFUNCTION("""COMPUTED_VALUE"""),"Decision-Making Strategies for Optimal Team Performance: A Primer for Team Leaders")</f>
        <v>Decision-Making Strategies for Optimal Team Performance: A Primer for Team Leaders</v>
      </c>
      <c r="T45" s="141"/>
      <c r="U45" s="134"/>
      <c r="V45" s="134"/>
    </row>
    <row r="46" spans="1:22" ht="33.75" customHeight="1" x14ac:dyDescent="0.15">
      <c r="A46" s="134"/>
      <c r="B46" s="134"/>
      <c r="C46" s="138">
        <f ca="1">IFERROR(__xludf.DUMMYFUNCTION("""COMPUTED_VALUE"""),2833004)</f>
        <v>2833004</v>
      </c>
      <c r="D46" s="138" t="str">
        <f ca="1">IFERROR(__xludf.DUMMYFUNCTION("""COMPUTED_VALUE"""),"General")</f>
        <v>General</v>
      </c>
      <c r="E46" s="139" t="str">
        <f ca="1">IFERROR(__xludf.DUMMYFUNCTION("""COMPUTED_VALUE"""),"Mastering Self-Leadership")</f>
        <v>Mastering Self-Leadership</v>
      </c>
      <c r="F46" s="141"/>
      <c r="G46" s="134"/>
      <c r="H46" s="134"/>
      <c r="I46" s="134"/>
      <c r="J46" s="138">
        <f ca="1">IFERROR(__xludf.DUMMYFUNCTION("""COMPUTED_VALUE"""),2242044)</f>
        <v>2242044</v>
      </c>
      <c r="K46" s="138" t="str">
        <f ca="1">IFERROR(__xludf.DUMMYFUNCTION("""COMPUTED_VALUE"""),"General")</f>
        <v>General</v>
      </c>
      <c r="L46" s="139" t="str">
        <f ca="1">IFERROR(__xludf.DUMMYFUNCTION("""COMPUTED_VALUE"""),"The Leader’s Guide to Mindfulness (getAbstract Summary)")</f>
        <v>The Leader’s Guide to Mindfulness (getAbstract Summary)</v>
      </c>
      <c r="M46" s="141"/>
      <c r="N46" s="134"/>
      <c r="O46" s="134"/>
      <c r="P46" s="134"/>
      <c r="Q46" s="138">
        <f ca="1">IFERROR(__xludf.DUMMYFUNCTION("""COMPUTED_VALUE"""),808667)</f>
        <v>808667</v>
      </c>
      <c r="R46" s="138" t="str">
        <f ca="1">IFERROR(__xludf.DUMMYFUNCTION("""COMPUTED_VALUE"""),"Intermediate")</f>
        <v>Intermediate</v>
      </c>
      <c r="S46" s="139" t="str">
        <f ca="1">IFERROR(__xludf.DUMMYFUNCTION("""COMPUTED_VALUE"""),"Building a Coaching Culture: Improving Performance Through Timely Feedback")</f>
        <v>Building a Coaching Culture: Improving Performance Through Timely Feedback</v>
      </c>
      <c r="T46" s="141"/>
      <c r="U46" s="134"/>
      <c r="V46" s="134"/>
    </row>
    <row r="47" spans="1:22" ht="33.75" customHeight="1" x14ac:dyDescent="0.15">
      <c r="A47" s="134"/>
      <c r="B47" s="134"/>
      <c r="C47" s="138">
        <f ca="1">IFERROR(__xludf.DUMMYFUNCTION("""COMPUTED_VALUE"""),699331)</f>
        <v>699331</v>
      </c>
      <c r="D47" s="138" t="str">
        <f ca="1">IFERROR(__xludf.DUMMYFUNCTION("""COMPUTED_VALUE"""),"Intermediate")</f>
        <v>Intermediate</v>
      </c>
      <c r="E47" s="139" t="str">
        <f ca="1">IFERROR(__xludf.DUMMYFUNCTION("""COMPUTED_VALUE"""),"Adaptive Project Leadership")</f>
        <v>Adaptive Project Leadership</v>
      </c>
      <c r="F47" s="141"/>
      <c r="G47" s="134"/>
      <c r="H47" s="134"/>
      <c r="I47" s="134"/>
      <c r="J47" s="138">
        <f ca="1">IFERROR(__xludf.DUMMYFUNCTION("""COMPUTED_VALUE"""),2243043)</f>
        <v>2243043</v>
      </c>
      <c r="K47" s="138" t="str">
        <f ca="1">IFERROR(__xludf.DUMMYFUNCTION("""COMPUTED_VALUE"""),"General")</f>
        <v>General</v>
      </c>
      <c r="L47" s="139" t="str">
        <f ca="1">IFERROR(__xludf.DUMMYFUNCTION("""COMPUTED_VALUE"""),"The Secret: What Great Leaders Know and Do (getAbstract Summary)")</f>
        <v>The Secret: What Great Leaders Know and Do (getAbstract Summary)</v>
      </c>
      <c r="M47" s="141"/>
      <c r="N47" s="134"/>
      <c r="O47" s="134"/>
      <c r="P47" s="134"/>
      <c r="Q47" s="138">
        <f ca="1">IFERROR(__xludf.DUMMYFUNCTION("""COMPUTED_VALUE"""),645011)</f>
        <v>645011</v>
      </c>
      <c r="R47" s="138" t="str">
        <f ca="1">IFERROR(__xludf.DUMMYFUNCTION("""COMPUTED_VALUE"""),"Intermediate")</f>
        <v>Intermediate</v>
      </c>
      <c r="S47" s="139" t="str">
        <f ca="1">IFERROR(__xludf.DUMMYFUNCTION("""COMPUTED_VALUE"""),"Coaching Employees through Difficult Situations")</f>
        <v>Coaching Employees through Difficult Situations</v>
      </c>
      <c r="T47" s="141"/>
      <c r="U47" s="134"/>
      <c r="V47" s="134"/>
    </row>
    <row r="48" spans="1:22" ht="33.75" customHeight="1" x14ac:dyDescent="0.15">
      <c r="A48" s="134"/>
      <c r="B48" s="134"/>
      <c r="C48" s="138">
        <f ca="1">IFERROR(__xludf.DUMMYFUNCTION("""COMPUTED_VALUE"""),5010646)</f>
        <v>5010646</v>
      </c>
      <c r="D48" s="138" t="str">
        <f ca="1">IFERROR(__xludf.DUMMYFUNCTION("""COMPUTED_VALUE"""),"Intermediate")</f>
        <v>Intermediate</v>
      </c>
      <c r="E48" s="139" t="str">
        <f ca="1">IFERROR(__xludf.DUMMYFUNCTION("""COMPUTED_VALUE"""),"Building Resilience as a Leader")</f>
        <v>Building Resilience as a Leader</v>
      </c>
      <c r="F48" s="141"/>
      <c r="G48" s="134"/>
      <c r="H48" s="134"/>
      <c r="I48" s="134"/>
      <c r="J48" s="138">
        <f ca="1">IFERROR(__xludf.DUMMYFUNCTION("""COMPUTED_VALUE"""),2243049)</f>
        <v>2243049</v>
      </c>
      <c r="K48" s="138" t="str">
        <f ca="1">IFERROR(__xludf.DUMMYFUNCTION("""COMPUTED_VALUE"""),"General")</f>
        <v>General</v>
      </c>
      <c r="L48" s="139" t="str">
        <f ca="1">IFERROR(__xludf.DUMMYFUNCTION("""COMPUTED_VALUE"""),"Bring Your Human to Work (getAbstract Summary)")</f>
        <v>Bring Your Human to Work (getAbstract Summary)</v>
      </c>
      <c r="M48" s="152"/>
      <c r="N48" s="134"/>
      <c r="O48" s="134"/>
      <c r="P48" s="134"/>
      <c r="Q48" s="138">
        <f ca="1">IFERROR(__xludf.DUMMYFUNCTION("""COMPUTED_VALUE"""),672234)</f>
        <v>672234</v>
      </c>
      <c r="R48" s="138" t="str">
        <f ca="1">IFERROR(__xludf.DUMMYFUNCTION("""COMPUTED_VALUE"""),"Intermediate")</f>
        <v>Intermediate</v>
      </c>
      <c r="S48" s="139" t="str">
        <f ca="1">IFERROR(__xludf.DUMMYFUNCTION("""COMPUTED_VALUE"""),"Creating the Conditions for Others to Thrive")</f>
        <v>Creating the Conditions for Others to Thrive</v>
      </c>
      <c r="T48" s="141"/>
      <c r="U48" s="134"/>
      <c r="V48" s="134"/>
    </row>
    <row r="49" spans="1:22" ht="33.75" customHeight="1" x14ac:dyDescent="0.15">
      <c r="A49" s="134"/>
      <c r="B49" s="134"/>
      <c r="C49" s="138">
        <f ca="1">IFERROR(__xludf.DUMMYFUNCTION("""COMPUTED_VALUE"""),456826)</f>
        <v>456826</v>
      </c>
      <c r="D49" s="138" t="str">
        <f ca="1">IFERROR(__xludf.DUMMYFUNCTION("""COMPUTED_VALUE"""),"Intermediate")</f>
        <v>Intermediate</v>
      </c>
      <c r="E49" s="139" t="str">
        <f ca="1">IFERROR(__xludf.DUMMYFUNCTION("""COMPUTED_VALUE"""),"Change Management Foundations")</f>
        <v>Change Management Foundations</v>
      </c>
      <c r="F49" s="141"/>
      <c r="G49" s="134"/>
      <c r="H49" s="134"/>
      <c r="I49" s="134"/>
      <c r="J49" s="138">
        <f ca="1">IFERROR(__xludf.DUMMYFUNCTION("""COMPUTED_VALUE"""),2832011)</f>
        <v>2832011</v>
      </c>
      <c r="K49" s="138" t="str">
        <f ca="1">IFERROR(__xludf.DUMMYFUNCTION("""COMPUTED_VALUE"""),"General")</f>
        <v>General</v>
      </c>
      <c r="L49" s="139" t="str">
        <f ca="1">IFERROR(__xludf.DUMMYFUNCTION("""COMPUTED_VALUE"""),"Establishing Work from Home Policies")</f>
        <v>Establishing Work from Home Policies</v>
      </c>
      <c r="M49" s="152"/>
      <c r="N49" s="134"/>
      <c r="O49" s="134"/>
      <c r="P49" s="134"/>
      <c r="Q49" s="138">
        <f ca="1">IFERROR(__xludf.DUMMYFUNCTION("""COMPUTED_VALUE"""),197201)</f>
        <v>197201</v>
      </c>
      <c r="R49" s="138" t="str">
        <f ca="1">IFERROR(__xludf.DUMMYFUNCTION("""COMPUTED_VALUE"""),"Intermediate")</f>
        <v>Intermediate</v>
      </c>
      <c r="S49" s="139" t="str">
        <f ca="1">IFERROR(__xludf.DUMMYFUNCTION("""COMPUTED_VALUE"""),"Developing Executive Presence")</f>
        <v>Developing Executive Presence</v>
      </c>
      <c r="T49" s="141"/>
      <c r="U49" s="134"/>
      <c r="V49" s="134"/>
    </row>
    <row r="50" spans="1:22" ht="33.75" customHeight="1" x14ac:dyDescent="0.15">
      <c r="A50" s="134"/>
      <c r="B50" s="134"/>
      <c r="C50" s="138">
        <f ca="1">IFERROR(__xludf.DUMMYFUNCTION("""COMPUTED_VALUE"""),580624)</f>
        <v>580624</v>
      </c>
      <c r="D50" s="138" t="str">
        <f ca="1">IFERROR(__xludf.DUMMYFUNCTION("""COMPUTED_VALUE"""),"Intermediate")</f>
        <v>Intermediate</v>
      </c>
      <c r="E50" s="139" t="str">
        <f ca="1">IFERROR(__xludf.DUMMYFUNCTION("""COMPUTED_VALUE"""),"Communicating in Times of Change")</f>
        <v>Communicating in Times of Change</v>
      </c>
      <c r="F50" s="141"/>
      <c r="G50" s="134"/>
      <c r="H50" s="134"/>
      <c r="I50" s="134"/>
      <c r="J50" s="138">
        <f ca="1">IFERROR(__xludf.DUMMYFUNCTION("""COMPUTED_VALUE"""),2832037)</f>
        <v>2832037</v>
      </c>
      <c r="K50" s="138" t="str">
        <f ca="1">IFERROR(__xludf.DUMMYFUNCTION("""COMPUTED_VALUE"""),"General")</f>
        <v>General</v>
      </c>
      <c r="L50" s="139" t="str">
        <f ca="1">IFERROR(__xludf.DUMMYFUNCTION("""COMPUTED_VALUE"""),"Leading in Crisis")</f>
        <v>Leading in Crisis</v>
      </c>
      <c r="M50" s="152"/>
      <c r="N50" s="134"/>
      <c r="O50" s="134"/>
      <c r="P50" s="134"/>
      <c r="Q50" s="138">
        <f ca="1">IFERROR(__xludf.DUMMYFUNCTION("""COMPUTED_VALUE"""),737756)</f>
        <v>737756</v>
      </c>
      <c r="R50" s="138" t="str">
        <f ca="1">IFERROR(__xludf.DUMMYFUNCTION("""COMPUTED_VALUE"""),"Intermediate")</f>
        <v>Intermediate</v>
      </c>
      <c r="S50" s="139" t="str">
        <f ca="1">IFERROR(__xludf.DUMMYFUNCTION("""COMPUTED_VALUE"""),"Developing Your Team Members")</f>
        <v>Developing Your Team Members</v>
      </c>
      <c r="T50" s="141"/>
      <c r="U50" s="134"/>
      <c r="V50" s="134"/>
    </row>
    <row r="51" spans="1:22" ht="33.75" customHeight="1" x14ac:dyDescent="0.15">
      <c r="A51" s="134"/>
      <c r="B51" s="134"/>
      <c r="C51" s="138">
        <f ca="1">IFERROR(__xludf.DUMMYFUNCTION("""COMPUTED_VALUE"""),718627)</f>
        <v>718627</v>
      </c>
      <c r="D51" s="138" t="str">
        <f ca="1">IFERROR(__xludf.DUMMYFUNCTION("""COMPUTED_VALUE"""),"Intermediate")</f>
        <v>Intermediate</v>
      </c>
      <c r="E51" s="139" t="str">
        <f ca="1">IFERROR(__xludf.DUMMYFUNCTION("""COMPUTED_VALUE"""),"Enhancing Team Innovation")</f>
        <v>Enhancing Team Innovation</v>
      </c>
      <c r="F51" s="141"/>
      <c r="G51" s="134"/>
      <c r="H51" s="134"/>
      <c r="I51" s="134"/>
      <c r="J51" s="138">
        <f ca="1">IFERROR(__xludf.DUMMYFUNCTION("""COMPUTED_VALUE"""),2838171)</f>
        <v>2838171</v>
      </c>
      <c r="K51" s="138" t="str">
        <f ca="1">IFERROR(__xludf.DUMMYFUNCTION("""COMPUTED_VALUE"""),"General")</f>
        <v>General</v>
      </c>
      <c r="L51" s="139" t="str">
        <f ca="1">IFERROR(__xludf.DUMMYFUNCTION("""COMPUTED_VALUE"""),"The Leader Habit (Blinkist Summary)")</f>
        <v>The Leader Habit (Blinkist Summary)</v>
      </c>
      <c r="M51" s="152"/>
      <c r="N51" s="134"/>
      <c r="O51" s="134"/>
      <c r="P51" s="134"/>
      <c r="Q51" s="138">
        <f ca="1">IFERROR(__xludf.DUMMYFUNCTION("""COMPUTED_VALUE"""),700792)</f>
        <v>700792</v>
      </c>
      <c r="R51" s="138" t="str">
        <f ca="1">IFERROR(__xludf.DUMMYFUNCTION("""COMPUTED_VALUE"""),"Intermediate")</f>
        <v>Intermediate</v>
      </c>
      <c r="S51" s="139" t="str">
        <f ca="1">IFERROR(__xludf.DUMMYFUNCTION("""COMPUTED_VALUE"""),"Employee Experience")</f>
        <v>Employee Experience</v>
      </c>
      <c r="T51" s="141"/>
      <c r="U51" s="134"/>
      <c r="V51" s="134"/>
    </row>
    <row r="52" spans="1:22" ht="33.75" customHeight="1" x14ac:dyDescent="0.15">
      <c r="A52" s="134"/>
      <c r="B52" s="134"/>
      <c r="C52" s="138">
        <f ca="1">IFERROR(__xludf.DUMMYFUNCTION("""COMPUTED_VALUE"""),5022327)</f>
        <v>5022327</v>
      </c>
      <c r="D52" s="138" t="str">
        <f ca="1">IFERROR(__xludf.DUMMYFUNCTION("""COMPUTED_VALUE"""),"Intermediate")</f>
        <v>Intermediate</v>
      </c>
      <c r="E52" s="139" t="str">
        <f ca="1">IFERROR(__xludf.DUMMYFUNCTION("""COMPUTED_VALUE"""),"Leading Your Team Through Change")</f>
        <v>Leading Your Team Through Change</v>
      </c>
      <c r="F52" s="141"/>
      <c r="G52" s="134"/>
      <c r="H52" s="134"/>
      <c r="I52" s="134"/>
      <c r="J52" s="138">
        <f ca="1">IFERROR(__xludf.DUMMYFUNCTION("""COMPUTED_VALUE"""),2839075)</f>
        <v>2839075</v>
      </c>
      <c r="K52" s="138" t="str">
        <f ca="1">IFERROR(__xludf.DUMMYFUNCTION("""COMPUTED_VALUE"""),"General")</f>
        <v>General</v>
      </c>
      <c r="L52" s="139" t="str">
        <f ca="1">IFERROR(__xludf.DUMMYFUNCTION("""COMPUTED_VALUE"""),"The Fearless Organization (Blinkist Summary)")</f>
        <v>The Fearless Organization (Blinkist Summary)</v>
      </c>
      <c r="M52" s="152"/>
      <c r="N52" s="134"/>
      <c r="O52" s="134"/>
      <c r="P52" s="134"/>
      <c r="Q52" s="138">
        <f ca="1">IFERROR(__xludf.DUMMYFUNCTION("""COMPUTED_VALUE"""),656781)</f>
        <v>656781</v>
      </c>
      <c r="R52" s="138" t="str">
        <f ca="1">IFERROR(__xludf.DUMMYFUNCTION("""COMPUTED_VALUE"""),"Intermediate")</f>
        <v>Intermediate</v>
      </c>
      <c r="S52" s="139" t="str">
        <f ca="1">IFERROR(__xludf.DUMMYFUNCTION("""COMPUTED_VALUE"""),"Facilitation Skills for Managers and Leaders")</f>
        <v>Facilitation Skills for Managers and Leaders</v>
      </c>
      <c r="T52" s="141"/>
      <c r="U52" s="134"/>
      <c r="V52" s="134"/>
    </row>
    <row r="53" spans="1:22" ht="33.75" customHeight="1" x14ac:dyDescent="0.15">
      <c r="A53" s="134"/>
      <c r="B53" s="134"/>
      <c r="C53" s="138">
        <f ca="1">IFERROR(__xludf.DUMMYFUNCTION("""COMPUTED_VALUE"""),711796)</f>
        <v>711796</v>
      </c>
      <c r="D53" s="138" t="str">
        <f ca="1">IFERROR(__xludf.DUMMYFUNCTION("""COMPUTED_VALUE"""),"Intermediate")</f>
        <v>Intermediate</v>
      </c>
      <c r="E53" s="139" t="str">
        <f ca="1">IFERROR(__xludf.DUMMYFUNCTION("""COMPUTED_VALUE"""),"Managing Organizational Change for Managers")</f>
        <v>Managing Organizational Change for Managers</v>
      </c>
      <c r="F53" s="141"/>
      <c r="G53" s="134"/>
      <c r="H53" s="134"/>
      <c r="I53" s="134"/>
      <c r="J53" s="138">
        <f ca="1">IFERROR(__xludf.DUMMYFUNCTION("""COMPUTED_VALUE"""),2848238)</f>
        <v>2848238</v>
      </c>
      <c r="K53" s="138" t="str">
        <f ca="1">IFERROR(__xludf.DUMMYFUNCTION("""COMPUTED_VALUE"""),"General")</f>
        <v>General</v>
      </c>
      <c r="L53" s="139" t="str">
        <f ca="1">IFERROR(__xludf.DUMMYFUNCTION("""COMPUTED_VALUE"""),"Leading Virtually: Vulnerability and Presence when Working from Home")</f>
        <v>Leading Virtually: Vulnerability and Presence when Working from Home</v>
      </c>
      <c r="M53" s="152"/>
      <c r="N53" s="134"/>
      <c r="O53" s="134"/>
      <c r="P53" s="134"/>
      <c r="Q53" s="138">
        <f ca="1">IFERROR(__xludf.DUMMYFUNCTION("""COMPUTED_VALUE"""),175129)</f>
        <v>175129</v>
      </c>
      <c r="R53" s="138" t="str">
        <f ca="1">IFERROR(__xludf.DUMMYFUNCTION("""COMPUTED_VALUE"""),"Intermediate")</f>
        <v>Intermediate</v>
      </c>
      <c r="S53" s="139" t="str">
        <f ca="1">IFERROR(__xludf.DUMMYFUNCTION("""COMPUTED_VALUE"""),"Leading and Working in Teams")</f>
        <v>Leading and Working in Teams</v>
      </c>
      <c r="T53" s="141"/>
      <c r="U53" s="134"/>
      <c r="V53" s="134"/>
    </row>
    <row r="54" spans="1:22" ht="33.75" customHeight="1" x14ac:dyDescent="0.15">
      <c r="A54" s="134"/>
      <c r="B54" s="134"/>
      <c r="C54" s="138">
        <f ca="1">IFERROR(__xludf.DUMMYFUNCTION("""COMPUTED_VALUE"""),520220)</f>
        <v>520220</v>
      </c>
      <c r="D54" s="138" t="str">
        <f ca="1">IFERROR(__xludf.DUMMYFUNCTION("""COMPUTED_VALUE"""),"Intermediate")</f>
        <v>Intermediate</v>
      </c>
      <c r="E54" s="139" t="str">
        <f ca="1">IFERROR(__xludf.DUMMYFUNCTION("""COMPUTED_VALUE"""),"Organizational Learning and Development")</f>
        <v>Organizational Learning and Development</v>
      </c>
      <c r="F54" s="141"/>
      <c r="G54" s="134"/>
      <c r="H54" s="134"/>
      <c r="I54" s="134"/>
      <c r="J54" s="138">
        <f ca="1">IFERROR(__xludf.DUMMYFUNCTION("""COMPUTED_VALUE"""),2849031)</f>
        <v>2849031</v>
      </c>
      <c r="K54" s="138" t="str">
        <f ca="1">IFERROR(__xludf.DUMMYFUNCTION("""COMPUTED_VALUE"""),"General")</f>
        <v>General</v>
      </c>
      <c r="L54" s="139" t="str">
        <f ca="1">IFERROR(__xludf.DUMMYFUNCTION("""COMPUTED_VALUE"""),"What's Next: Reinventing Work in the New Normal")</f>
        <v>What's Next: Reinventing Work in the New Normal</v>
      </c>
      <c r="M54" s="152"/>
      <c r="N54" s="134"/>
      <c r="O54" s="134"/>
      <c r="P54" s="134"/>
      <c r="Q54" s="138">
        <f ca="1">IFERROR(__xludf.DUMMYFUNCTION("""COMPUTED_VALUE"""),746305)</f>
        <v>746305</v>
      </c>
      <c r="R54" s="138" t="str">
        <f ca="1">IFERROR(__xludf.DUMMYFUNCTION("""COMPUTED_VALUE"""),"Intermediate")</f>
        <v>Intermediate</v>
      </c>
      <c r="S54" s="139" t="str">
        <f ca="1">IFERROR(__xludf.DUMMYFUNCTION("""COMPUTED_VALUE"""),"Managing Employee Performance Problems")</f>
        <v>Managing Employee Performance Problems</v>
      </c>
      <c r="T54" s="141"/>
      <c r="U54" s="134"/>
      <c r="V54" s="134"/>
    </row>
    <row r="55" spans="1:22" ht="33.75" customHeight="1" x14ac:dyDescent="0.15">
      <c r="A55" s="134"/>
      <c r="B55" s="134"/>
      <c r="C55" s="138">
        <f ca="1">IFERROR(__xludf.DUMMYFUNCTION("""COMPUTED_VALUE"""),420309)</f>
        <v>420309</v>
      </c>
      <c r="D55" s="138" t="str">
        <f ca="1">IFERROR(__xludf.DUMMYFUNCTION("""COMPUTED_VALUE"""),"Intermediate")</f>
        <v>Intermediate</v>
      </c>
      <c r="E55" s="139" t="str">
        <f ca="1">IFERROR(__xludf.DUMMYFUNCTION("""COMPUTED_VALUE"""),"Risk-Taking for Leaders")</f>
        <v>Risk-Taking for Leaders</v>
      </c>
      <c r="F55" s="141"/>
      <c r="G55" s="134"/>
      <c r="H55" s="134"/>
      <c r="I55" s="134"/>
      <c r="J55" s="138">
        <f ca="1">IFERROR(__xludf.DUMMYFUNCTION("""COMPUTED_VALUE"""),2837192)</f>
        <v>2837192</v>
      </c>
      <c r="K55" s="138" t="str">
        <f ca="1">IFERROR(__xludf.DUMMYFUNCTION("""COMPUTED_VALUE"""),"General")</f>
        <v>General</v>
      </c>
      <c r="L55" s="139" t="str">
        <f ca="1">IFERROR(__xludf.DUMMYFUNCTION("""COMPUTED_VALUE"""),"Advice for Leaders During a Crisis")</f>
        <v>Advice for Leaders During a Crisis</v>
      </c>
      <c r="M55" s="152"/>
      <c r="N55" s="134"/>
      <c r="O55" s="134"/>
      <c r="P55" s="134"/>
      <c r="Q55" s="138">
        <f ca="1">IFERROR(__xludf.DUMMYFUNCTION("""COMPUTED_VALUE"""),162447)</f>
        <v>162447</v>
      </c>
      <c r="R55" s="138" t="str">
        <f ca="1">IFERROR(__xludf.DUMMYFUNCTION("""COMPUTED_VALUE"""),"Intermediate")</f>
        <v>Intermediate</v>
      </c>
      <c r="S55" s="139" t="str">
        <f ca="1">IFERROR(__xludf.DUMMYFUNCTION("""COMPUTED_VALUE"""),"Managing for Results (2014)")</f>
        <v>Managing for Results (2014)</v>
      </c>
      <c r="T55" s="141"/>
      <c r="U55" s="134"/>
      <c r="V55" s="134"/>
    </row>
    <row r="56" spans="1:22" ht="33.75" customHeight="1" x14ac:dyDescent="0.15">
      <c r="A56" s="134"/>
      <c r="B56" s="134"/>
      <c r="C56" s="138">
        <f ca="1">IFERROR(__xludf.DUMMYFUNCTION("""COMPUTED_VALUE"""),431182)</f>
        <v>431182</v>
      </c>
      <c r="D56" s="138" t="str">
        <f ca="1">IFERROR(__xludf.DUMMYFUNCTION("""COMPUTED_VALUE"""),"Intermediate")</f>
        <v>Intermediate</v>
      </c>
      <c r="E56" s="139" t="str">
        <f ca="1">IFERROR(__xludf.DUMMYFUNCTION("""COMPUTED_VALUE"""),"Sustainability Strategies")</f>
        <v>Sustainability Strategies</v>
      </c>
      <c r="F56" s="141"/>
      <c r="G56" s="134"/>
      <c r="H56" s="134"/>
      <c r="I56" s="134"/>
      <c r="J56" s="138">
        <f ca="1">IFERROR(__xludf.DUMMYFUNCTION("""COMPUTED_VALUE"""),2800408)</f>
        <v>2800408</v>
      </c>
      <c r="K56" s="138" t="str">
        <f ca="1">IFERROR(__xludf.DUMMYFUNCTION("""COMPUTED_VALUE"""),"General")</f>
        <v>General</v>
      </c>
      <c r="L56" s="139" t="str">
        <f ca="1">IFERROR(__xludf.DUMMYFUNCTION("""COMPUTED_VALUE"""),"Leadership in Tech")</f>
        <v>Leadership in Tech</v>
      </c>
      <c r="M56" s="152"/>
      <c r="N56" s="134"/>
      <c r="O56" s="134"/>
      <c r="P56" s="134"/>
      <c r="Q56" s="138">
        <f ca="1">IFERROR(__xludf.DUMMYFUNCTION("""COMPUTED_VALUE"""),577353)</f>
        <v>577353</v>
      </c>
      <c r="R56" s="138" t="str">
        <f ca="1">IFERROR(__xludf.DUMMYFUNCTION("""COMPUTED_VALUE"""),"Intermediate")</f>
        <v>Intermediate</v>
      </c>
      <c r="S56" s="139" t="str">
        <f ca="1">IFERROR(__xludf.DUMMYFUNCTION("""COMPUTED_VALUE"""),"Managing Up, Down, and Across the Organization")</f>
        <v>Managing Up, Down, and Across the Organization</v>
      </c>
      <c r="T56" s="141"/>
      <c r="U56" s="134"/>
      <c r="V56" s="134"/>
    </row>
    <row r="57" spans="1:22" ht="33.75" customHeight="1" x14ac:dyDescent="0.15">
      <c r="A57" s="134"/>
      <c r="B57" s="134"/>
      <c r="C57" s="138">
        <f ca="1">IFERROR(__xludf.DUMMYFUNCTION("""COMPUTED_VALUE"""),2814066)</f>
        <v>2814066</v>
      </c>
      <c r="D57" s="138" t="str">
        <f ca="1">IFERROR(__xludf.DUMMYFUNCTION("""COMPUTED_VALUE"""),"Intermediate")</f>
        <v>Intermediate</v>
      </c>
      <c r="E57" s="139" t="str">
        <f ca="1">IFERROR(__xludf.DUMMYFUNCTION("""COMPUTED_VALUE"""),"Leading with Kindness and Strength")</f>
        <v>Leading with Kindness and Strength</v>
      </c>
      <c r="F57" s="141"/>
      <c r="G57" s="134"/>
      <c r="H57" s="134"/>
      <c r="I57" s="134"/>
      <c r="J57" s="138">
        <f ca="1">IFERROR(__xludf.DUMMYFUNCTION("""COMPUTED_VALUE"""),2820012)</f>
        <v>2820012</v>
      </c>
      <c r="K57" s="138" t="str">
        <f ca="1">IFERROR(__xludf.DUMMYFUNCTION("""COMPUTED_VALUE"""),"General")</f>
        <v>General</v>
      </c>
      <c r="L57" s="139" t="str">
        <f ca="1">IFERROR(__xludf.DUMMYFUNCTION("""COMPUTED_VALUE"""),"Conducting Motivational 1-on-1 Reviews")</f>
        <v>Conducting Motivational 1-on-1 Reviews</v>
      </c>
      <c r="M57" s="152"/>
      <c r="N57" s="134"/>
      <c r="O57" s="134"/>
      <c r="P57" s="134"/>
      <c r="Q57" s="138">
        <f ca="1">IFERROR(__xludf.DUMMYFUNCTION("""COMPUTED_VALUE"""),585227)</f>
        <v>585227</v>
      </c>
      <c r="R57" s="138" t="str">
        <f ca="1">IFERROR(__xludf.DUMMYFUNCTION("""COMPUTED_VALUE"""),"Intermediate")</f>
        <v>Intermediate</v>
      </c>
      <c r="S57" s="139" t="str">
        <f ca="1">IFERROR(__xludf.DUMMYFUNCTION("""COMPUTED_VALUE"""),"Measuring Team Performance")</f>
        <v>Measuring Team Performance</v>
      </c>
      <c r="T57" s="141"/>
      <c r="U57" s="134"/>
      <c r="V57" s="134"/>
    </row>
    <row r="58" spans="1:22" ht="33.75" customHeight="1" x14ac:dyDescent="0.15">
      <c r="A58" s="134"/>
      <c r="B58" s="134"/>
      <c r="C58" s="138">
        <f ca="1">IFERROR(__xludf.DUMMYFUNCTION("""COMPUTED_VALUE"""),2813183)</f>
        <v>2813183</v>
      </c>
      <c r="D58" s="138" t="str">
        <f ca="1">IFERROR(__xludf.DUMMYFUNCTION("""COMPUTED_VALUE"""),"Intermediate")</f>
        <v>Intermediate</v>
      </c>
      <c r="E58" s="139" t="str">
        <f ca="1">IFERROR(__xludf.DUMMYFUNCTION("""COMPUTED_VALUE"""),"Leading with Values")</f>
        <v>Leading with Values</v>
      </c>
      <c r="F58" s="141"/>
      <c r="G58" s="134"/>
      <c r="H58" s="134"/>
      <c r="I58" s="134"/>
      <c r="J58" s="138">
        <f ca="1">IFERROR(__xludf.DUMMYFUNCTION("""COMPUTED_VALUE"""),2841066)</f>
        <v>2841066</v>
      </c>
      <c r="K58" s="138" t="str">
        <f ca="1">IFERROR(__xludf.DUMMYFUNCTION("""COMPUTED_VALUE"""),"General")</f>
        <v>General</v>
      </c>
      <c r="L58" s="139" t="str">
        <f ca="1">IFERROR(__xludf.DUMMYFUNCTION("""COMPUTED_VALUE"""),"Communicating Internally during Times of Uncertainty")</f>
        <v>Communicating Internally during Times of Uncertainty</v>
      </c>
      <c r="M58" s="152"/>
      <c r="N58" s="134"/>
      <c r="O58" s="134"/>
      <c r="P58" s="134"/>
      <c r="Q58" s="138">
        <f ca="1">IFERROR(__xludf.DUMMYFUNCTION("""COMPUTED_VALUE"""),564551)</f>
        <v>564551</v>
      </c>
      <c r="R58" s="138" t="str">
        <f ca="1">IFERROR(__xludf.DUMMYFUNCTION("""COMPUTED_VALUE"""),"Intermediate")</f>
        <v>Intermediate</v>
      </c>
      <c r="S58" s="139" t="str">
        <f ca="1">IFERROR(__xludf.DUMMYFUNCTION("""COMPUTED_VALUE"""),"Time Management for Managers")</f>
        <v>Time Management for Managers</v>
      </c>
      <c r="T58" s="141"/>
      <c r="U58" s="134"/>
      <c r="V58" s="134"/>
    </row>
    <row r="59" spans="1:22" ht="33.75" customHeight="1" x14ac:dyDescent="0.15">
      <c r="A59" s="134"/>
      <c r="B59" s="134"/>
      <c r="C59" s="138">
        <f ca="1">IFERROR(__xludf.DUMMYFUNCTION("""COMPUTED_VALUE"""),2823041)</f>
        <v>2823041</v>
      </c>
      <c r="D59" s="138" t="str">
        <f ca="1">IFERROR(__xludf.DUMMYFUNCTION("""COMPUTED_VALUE"""),"Intermediate")</f>
        <v>Intermediate</v>
      </c>
      <c r="E59" s="139" t="str">
        <f ca="1">IFERROR(__xludf.DUMMYFUNCTION("""COMPUTED_VALUE"""),"Communicating Change in an Enterprise-Wide Transformation")</f>
        <v>Communicating Change in an Enterprise-Wide Transformation</v>
      </c>
      <c r="F59" s="141"/>
      <c r="G59" s="134"/>
      <c r="H59" s="134"/>
      <c r="I59" s="134"/>
      <c r="J59" s="138">
        <f ca="1">IFERROR(__xludf.DUMMYFUNCTION("""COMPUTED_VALUE"""),2834033)</f>
        <v>2834033</v>
      </c>
      <c r="K59" s="138" t="str">
        <f ca="1">IFERROR(__xludf.DUMMYFUNCTION("""COMPUTED_VALUE"""),"General")</f>
        <v>General</v>
      </c>
      <c r="L59" s="139" t="str">
        <f ca="1">IFERROR(__xludf.DUMMYFUNCTION("""COMPUTED_VALUE"""),"On Leadership by Jeff Weiner")</f>
        <v>On Leadership by Jeff Weiner</v>
      </c>
      <c r="M59" s="152"/>
      <c r="N59" s="134"/>
      <c r="O59" s="134"/>
      <c r="P59" s="134"/>
      <c r="Q59" s="138">
        <f ca="1">IFERROR(__xludf.DUMMYFUNCTION("""COMPUTED_VALUE"""),2802024)</f>
        <v>2802024</v>
      </c>
      <c r="R59" s="138" t="str">
        <f ca="1">IFERROR(__xludf.DUMMYFUNCTION("""COMPUTED_VALUE"""),"Intermediate")</f>
        <v>Intermediate</v>
      </c>
      <c r="S59" s="139" t="str">
        <f ca="1">IFERROR(__xludf.DUMMYFUNCTION("""COMPUTED_VALUE"""),"Business Ethics for Managers and Leaders")</f>
        <v>Business Ethics for Managers and Leaders</v>
      </c>
      <c r="T59" s="141"/>
      <c r="U59" s="134"/>
      <c r="V59" s="134"/>
    </row>
    <row r="60" spans="1:22" ht="33.75" customHeight="1" x14ac:dyDescent="0.15">
      <c r="A60" s="134"/>
      <c r="B60" s="134"/>
      <c r="C60" s="138">
        <f ca="1">IFERROR(__xludf.DUMMYFUNCTION("""COMPUTED_VALUE"""),2836015)</f>
        <v>2836015</v>
      </c>
      <c r="D60" s="138" t="str">
        <f ca="1">IFERROR(__xludf.DUMMYFUNCTION("""COMPUTED_VALUE"""),"Intermediate")</f>
        <v>Intermediate</v>
      </c>
      <c r="E60" s="139" t="str">
        <f ca="1">IFERROR(__xludf.DUMMYFUNCTION("""COMPUTED_VALUE"""),"How to Innovate and Stay Relevant in Times of Change and Uncertainty")</f>
        <v>How to Innovate and Stay Relevant in Times of Change and Uncertainty</v>
      </c>
      <c r="F60" s="141"/>
      <c r="G60" s="134"/>
      <c r="H60" s="134"/>
      <c r="I60" s="134"/>
      <c r="J60" s="138">
        <f ca="1">IFERROR(__xludf.DUMMYFUNCTION("""COMPUTED_VALUE"""),2848235)</f>
        <v>2848235</v>
      </c>
      <c r="K60" s="138" t="str">
        <f ca="1">IFERROR(__xludf.DUMMYFUNCTION("""COMPUTED_VALUE"""),"General")</f>
        <v>General</v>
      </c>
      <c r="L60" s="139" t="str">
        <f ca="1">IFERROR(__xludf.DUMMYFUNCTION("""COMPUTED_VALUE"""),"A Manager's Toolkit for Supporting Change")</f>
        <v>A Manager's Toolkit for Supporting Change</v>
      </c>
      <c r="M60" s="152"/>
      <c r="N60" s="134"/>
      <c r="O60" s="134"/>
      <c r="P60" s="134"/>
      <c r="Q60" s="138">
        <f ca="1">IFERROR(__xludf.DUMMYFUNCTION("""COMPUTED_VALUE"""),2822159)</f>
        <v>2822159</v>
      </c>
      <c r="R60" s="138" t="str">
        <f ca="1">IFERROR(__xludf.DUMMYFUNCTION("""COMPUTED_VALUE"""),"Intermediate")</f>
        <v>Intermediate</v>
      </c>
      <c r="S60" s="139" t="str">
        <f ca="1">IFERROR(__xludf.DUMMYFUNCTION("""COMPUTED_VALUE"""),"Managing for Better Ideas")</f>
        <v>Managing for Better Ideas</v>
      </c>
      <c r="T60" s="141"/>
      <c r="U60" s="134"/>
      <c r="V60" s="134"/>
    </row>
    <row r="61" spans="1:22" ht="33.75" customHeight="1" x14ac:dyDescent="0.15">
      <c r="A61" s="134"/>
      <c r="B61" s="134"/>
      <c r="C61" s="138">
        <f ca="1">IFERROR(__xludf.DUMMYFUNCTION("""COMPUTED_VALUE"""),2838146)</f>
        <v>2838146</v>
      </c>
      <c r="D61" s="138" t="str">
        <f ca="1">IFERROR(__xludf.DUMMYFUNCTION("""COMPUTED_VALUE"""),"Intermediate")</f>
        <v>Intermediate</v>
      </c>
      <c r="E61" s="139" t="str">
        <f ca="1">IFERROR(__xludf.DUMMYFUNCTION("""COMPUTED_VALUE"""),"Leading in Uncertain Times")</f>
        <v>Leading in Uncertain Times</v>
      </c>
      <c r="F61" s="141"/>
      <c r="G61" s="134"/>
      <c r="H61" s="134"/>
      <c r="I61" s="134"/>
      <c r="J61" s="138">
        <f ca="1">IFERROR(__xludf.DUMMYFUNCTION("""COMPUTED_VALUE"""),2849190)</f>
        <v>2849190</v>
      </c>
      <c r="K61" s="138" t="str">
        <f ca="1">IFERROR(__xludf.DUMMYFUNCTION("""COMPUTED_VALUE"""),"General")</f>
        <v>General</v>
      </c>
      <c r="L61" s="139" t="str">
        <f ca="1">IFERROR(__xludf.DUMMYFUNCTION("""COMPUTED_VALUE"""),"Leading and Managing the Whole Self")</f>
        <v>Leading and Managing the Whole Self</v>
      </c>
      <c r="M61" s="152"/>
      <c r="N61" s="134"/>
      <c r="O61" s="134"/>
      <c r="P61" s="134"/>
      <c r="Q61" s="138">
        <f ca="1">IFERROR(__xludf.DUMMYFUNCTION("""COMPUTED_VALUE"""),2228264)</f>
        <v>2228264</v>
      </c>
      <c r="R61" s="138" t="str">
        <f ca="1">IFERROR(__xludf.DUMMYFUNCTION("""COMPUTED_VALUE"""),"Intermediate")</f>
        <v>Intermediate</v>
      </c>
      <c r="S61" s="139" t="str">
        <f ca="1">IFERROR(__xludf.DUMMYFUNCTION("""COMPUTED_VALUE"""),"Having Career Conversations with Your Team")</f>
        <v>Having Career Conversations with Your Team</v>
      </c>
      <c r="T61" s="141"/>
      <c r="U61" s="134"/>
      <c r="V61" s="134"/>
    </row>
    <row r="62" spans="1:22" ht="33.75" customHeight="1" x14ac:dyDescent="0.15">
      <c r="A62" s="134"/>
      <c r="B62" s="134"/>
      <c r="C62" s="138"/>
      <c r="D62" s="138"/>
      <c r="E62" s="143"/>
      <c r="F62" s="141"/>
      <c r="G62" s="134"/>
      <c r="H62" s="134"/>
      <c r="I62" s="134"/>
      <c r="J62" s="138">
        <f ca="1">IFERROR(__xludf.DUMMYFUNCTION("""COMPUTED_VALUE"""),2822683)</f>
        <v>2822683</v>
      </c>
      <c r="K62" s="138" t="str">
        <f ca="1">IFERROR(__xludf.DUMMYFUNCTION("""COMPUTED_VALUE"""),"Intermediate")</f>
        <v>Intermediate</v>
      </c>
      <c r="L62" s="139" t="str">
        <f ca="1">IFERROR(__xludf.DUMMYFUNCTION("""COMPUTED_VALUE"""),"Demonstrating Accountabilty as a Leader")</f>
        <v>Demonstrating Accountabilty as a Leader</v>
      </c>
      <c r="M62" s="152"/>
      <c r="N62" s="134"/>
      <c r="O62" s="134"/>
      <c r="P62" s="134"/>
      <c r="Q62" s="138">
        <f ca="1">IFERROR(__xludf.DUMMYFUNCTION("""COMPUTED_VALUE"""),2820016)</f>
        <v>2820016</v>
      </c>
      <c r="R62" s="138" t="str">
        <f ca="1">IFERROR(__xludf.DUMMYFUNCTION("""COMPUTED_VALUE"""),"Intermediate")</f>
        <v>Intermediate</v>
      </c>
      <c r="S62" s="139" t="str">
        <f ca="1">IFERROR(__xludf.DUMMYFUNCTION("""COMPUTED_VALUE"""),"Succeeding as a First-Time Tech Manager")</f>
        <v>Succeeding as a First-Time Tech Manager</v>
      </c>
      <c r="T62" s="141"/>
      <c r="U62" s="134"/>
      <c r="V62" s="134"/>
    </row>
    <row r="63" spans="1:22" ht="33.75" customHeight="1" x14ac:dyDescent="0.15">
      <c r="A63" s="134"/>
      <c r="B63" s="134"/>
      <c r="C63" s="138"/>
      <c r="D63" s="138"/>
      <c r="E63" s="143"/>
      <c r="F63" s="141"/>
      <c r="G63" s="134"/>
      <c r="H63" s="134"/>
      <c r="I63" s="134"/>
      <c r="J63" s="138">
        <f ca="1">IFERROR(__xludf.DUMMYFUNCTION("""COMPUTED_VALUE"""),2824379)</f>
        <v>2824379</v>
      </c>
      <c r="K63" s="138" t="str">
        <f ca="1">IFERROR(__xludf.DUMMYFUNCTION("""COMPUTED_VALUE"""),"Intermediate")</f>
        <v>Intermediate</v>
      </c>
      <c r="L63" s="139" t="str">
        <f ca="1">IFERROR(__xludf.DUMMYFUNCTION("""COMPUTED_VALUE"""),"Fostering Belonging as a Leader")</f>
        <v>Fostering Belonging as a Leader</v>
      </c>
      <c r="M63" s="152"/>
      <c r="N63" s="134"/>
      <c r="O63" s="134"/>
      <c r="P63" s="134"/>
      <c r="Q63" s="138">
        <f ca="1">IFERROR(__xludf.DUMMYFUNCTION("""COMPUTED_VALUE"""),2824374)</f>
        <v>2824374</v>
      </c>
      <c r="R63" s="138" t="str">
        <f ca="1">IFERROR(__xludf.DUMMYFUNCTION("""COMPUTED_VALUE"""),"Intermediate")</f>
        <v>Intermediate</v>
      </c>
      <c r="S63" s="139" t="str">
        <f ca="1">IFERROR(__xludf.DUMMYFUNCTION("""COMPUTED_VALUE"""),"How Leaders Can Motivate Others by Creating Meaning")</f>
        <v>How Leaders Can Motivate Others by Creating Meaning</v>
      </c>
      <c r="T63" s="141"/>
      <c r="U63" s="134"/>
      <c r="V63" s="134"/>
    </row>
    <row r="64" spans="1:22" ht="33.75" customHeight="1" x14ac:dyDescent="0.15">
      <c r="A64" s="134"/>
      <c r="B64" s="134"/>
      <c r="C64" s="138"/>
      <c r="D64" s="138"/>
      <c r="E64" s="143"/>
      <c r="F64" s="141"/>
      <c r="G64" s="134"/>
      <c r="H64" s="134"/>
      <c r="I64" s="134"/>
      <c r="J64" s="138">
        <f ca="1">IFERROR(__xludf.DUMMYFUNCTION("""COMPUTED_VALUE"""),2836021)</f>
        <v>2836021</v>
      </c>
      <c r="K64" s="138" t="str">
        <f ca="1">IFERROR(__xludf.DUMMYFUNCTION("""COMPUTED_VALUE"""),"Intermediate")</f>
        <v>Intermediate</v>
      </c>
      <c r="L64" s="139" t="str">
        <f ca="1">IFERROR(__xludf.DUMMYFUNCTION("""COMPUTED_VALUE"""),"Leadership Skills for The Future")</f>
        <v>Leadership Skills for The Future</v>
      </c>
      <c r="M64" s="152"/>
      <c r="N64" s="134"/>
      <c r="O64" s="134"/>
      <c r="P64" s="134"/>
      <c r="Q64" s="138">
        <f ca="1">IFERROR(__xludf.DUMMYFUNCTION("""COMPUTED_VALUE"""),2837260)</f>
        <v>2837260</v>
      </c>
      <c r="R64" s="138" t="str">
        <f ca="1">IFERROR(__xludf.DUMMYFUNCTION("""COMPUTED_VALUE"""),"Intermediate")</f>
        <v>Intermediate</v>
      </c>
      <c r="S64" s="139" t="str">
        <f ca="1">IFERROR(__xludf.DUMMYFUNCTION("""COMPUTED_VALUE"""),"The Definitive Drucker (getAbstract Summary)")</f>
        <v>The Definitive Drucker (getAbstract Summary)</v>
      </c>
      <c r="T64" s="141"/>
      <c r="U64" s="134"/>
      <c r="V64" s="134"/>
    </row>
    <row r="65" spans="1:22" ht="33.75" customHeight="1" x14ac:dyDescent="0.15">
      <c r="A65" s="134"/>
      <c r="B65" s="134"/>
      <c r="C65" s="138"/>
      <c r="D65" s="138"/>
      <c r="E65" s="143"/>
      <c r="F65" s="141"/>
      <c r="G65" s="134"/>
      <c r="H65" s="134"/>
      <c r="I65" s="134"/>
      <c r="J65" s="138">
        <f ca="1">IFERROR(__xludf.DUMMYFUNCTION("""COMPUTED_VALUE"""),2822422)</f>
        <v>2822422</v>
      </c>
      <c r="K65" s="138" t="str">
        <f ca="1">IFERROR(__xludf.DUMMYFUNCTION("""COMPUTED_VALUE"""),"Intermediate")</f>
        <v>Intermediate</v>
      </c>
      <c r="L65" s="139" t="str">
        <f ca="1">IFERROR(__xludf.DUMMYFUNCTION("""COMPUTED_VALUE"""),"How to Successfully Lead a PMO")</f>
        <v>How to Successfully Lead a PMO</v>
      </c>
      <c r="M65" s="152"/>
      <c r="N65" s="134"/>
      <c r="O65" s="134"/>
      <c r="P65" s="134"/>
      <c r="Q65" s="138">
        <f ca="1">IFERROR(__xludf.DUMMYFUNCTION("""COMPUTED_VALUE"""),2972406)</f>
        <v>2972406</v>
      </c>
      <c r="R65" s="138" t="str">
        <f ca="1">IFERROR(__xludf.DUMMYFUNCTION("""COMPUTED_VALUE"""),"Intermediate")</f>
        <v>Intermediate</v>
      </c>
      <c r="S65" s="139" t="str">
        <f ca="1">IFERROR(__xludf.DUMMYFUNCTION("""COMPUTED_VALUE"""),"Creating Winning Teams")</f>
        <v>Creating Winning Teams</v>
      </c>
      <c r="T65" s="141"/>
      <c r="U65" s="134"/>
      <c r="V65" s="134"/>
    </row>
    <row r="66" spans="1:22" ht="33.75" customHeight="1" x14ac:dyDescent="0.15">
      <c r="A66" s="134"/>
      <c r="B66" s="134"/>
      <c r="C66" s="138"/>
      <c r="D66" s="138"/>
      <c r="E66" s="143"/>
      <c r="F66" s="141"/>
      <c r="G66" s="134"/>
      <c r="H66" s="134"/>
      <c r="I66" s="134"/>
      <c r="J66" s="138">
        <f ca="1">IFERROR(__xludf.DUMMYFUNCTION("""COMPUTED_VALUE"""),5010646)</f>
        <v>5010646</v>
      </c>
      <c r="K66" s="138" t="str">
        <f ca="1">IFERROR(__xludf.DUMMYFUNCTION("""COMPUTED_VALUE"""),"Intermediate")</f>
        <v>Intermediate</v>
      </c>
      <c r="L66" s="139" t="str">
        <f ca="1">IFERROR(__xludf.DUMMYFUNCTION("""COMPUTED_VALUE"""),"Building Resilience as a Leader")</f>
        <v>Building Resilience as a Leader</v>
      </c>
      <c r="M66" s="152"/>
      <c r="N66" s="134"/>
      <c r="O66" s="134"/>
      <c r="P66" s="134"/>
      <c r="Q66" s="138">
        <f ca="1">IFERROR(__xludf.DUMMYFUNCTION("""COMPUTED_VALUE"""),2974330)</f>
        <v>2974330</v>
      </c>
      <c r="R66" s="138" t="str">
        <f ca="1">IFERROR(__xludf.DUMMYFUNCTION("""COMPUTED_VALUE"""),"Intermediate")</f>
        <v>Intermediate</v>
      </c>
      <c r="S66" s="139" t="str">
        <f ca="1">IFERROR(__xludf.DUMMYFUNCTION("""COMPUTED_VALUE"""),"Creating an Adaptable Team")</f>
        <v>Creating an Adaptable Team</v>
      </c>
      <c r="T66" s="141"/>
      <c r="U66" s="134"/>
      <c r="V66" s="134"/>
    </row>
    <row r="67" spans="1:22" ht="33.75" customHeight="1" x14ac:dyDescent="0.15">
      <c r="A67" s="134"/>
      <c r="B67" s="134"/>
      <c r="C67" s="138"/>
      <c r="D67" s="138"/>
      <c r="E67" s="143"/>
      <c r="F67" s="141"/>
      <c r="G67" s="134"/>
      <c r="H67" s="134"/>
      <c r="I67" s="134"/>
      <c r="J67" s="138">
        <f ca="1">IFERROR(__xludf.DUMMYFUNCTION("""COMPUTED_VALUE"""),713373)</f>
        <v>713373</v>
      </c>
      <c r="K67" s="138" t="str">
        <f ca="1">IFERROR(__xludf.DUMMYFUNCTION("""COMPUTED_VALUE"""),"Intermediate")</f>
        <v>Intermediate</v>
      </c>
      <c r="L67" s="139" t="str">
        <f ca="1">IFERROR(__xludf.DUMMYFUNCTION("""COMPUTED_VALUE"""),"Coaching Skills for Leaders and Managers")</f>
        <v>Coaching Skills for Leaders and Managers</v>
      </c>
      <c r="M67" s="152"/>
      <c r="N67" s="134"/>
      <c r="O67" s="134"/>
      <c r="P67" s="134"/>
      <c r="Q67" s="138">
        <f ca="1">IFERROR(__xludf.DUMMYFUNCTION("""COMPUTED_VALUE"""),2819209)</f>
        <v>2819209</v>
      </c>
      <c r="R67" s="138" t="str">
        <f ca="1">IFERROR(__xludf.DUMMYFUNCTION("""COMPUTED_VALUE"""),"Intermediate")</f>
        <v>Intermediate</v>
      </c>
      <c r="S67" s="139" t="str">
        <f ca="1">IFERROR(__xludf.DUMMYFUNCTION("""COMPUTED_VALUE"""),"The Superbosses Playbook")</f>
        <v>The Superbosses Playbook</v>
      </c>
      <c r="T67" s="141"/>
      <c r="U67" s="134"/>
      <c r="V67" s="134"/>
    </row>
    <row r="68" spans="1:22" ht="33.75" customHeight="1" x14ac:dyDescent="0.15">
      <c r="A68" s="134"/>
      <c r="B68" s="134"/>
      <c r="C68" s="138"/>
      <c r="D68" s="138"/>
      <c r="E68" s="143"/>
      <c r="F68" s="141"/>
      <c r="G68" s="134"/>
      <c r="H68" s="134"/>
      <c r="I68" s="134"/>
      <c r="J68" s="138">
        <f ca="1">IFERROR(__xludf.DUMMYFUNCTION("""COMPUTED_VALUE"""),5022331)</f>
        <v>5022331</v>
      </c>
      <c r="K68" s="138" t="str">
        <f ca="1">IFERROR(__xludf.DUMMYFUNCTION("""COMPUTED_VALUE"""),"Intermediate")</f>
        <v>Intermediate</v>
      </c>
      <c r="L68" s="139" t="str">
        <f ca="1">IFERROR(__xludf.DUMMYFUNCTION("""COMPUTED_VALUE"""),"Collaborative Leadership")</f>
        <v>Collaborative Leadership</v>
      </c>
      <c r="M68" s="152"/>
      <c r="N68" s="134"/>
      <c r="O68" s="134"/>
      <c r="P68" s="134"/>
      <c r="Q68" s="138">
        <f ca="1">IFERROR(__xludf.DUMMYFUNCTION("""COMPUTED_VALUE"""),2825695)</f>
        <v>2825695</v>
      </c>
      <c r="R68" s="138" t="str">
        <f ca="1">IFERROR(__xludf.DUMMYFUNCTION("""COMPUTED_VALUE"""),"Intermediate")</f>
        <v>Intermediate</v>
      </c>
      <c r="S68" s="139" t="str">
        <f ca="1">IFERROR(__xludf.DUMMYFUNCTION("""COMPUTED_VALUE"""),"Creating a Communications Strategy")</f>
        <v>Creating a Communications Strategy</v>
      </c>
      <c r="T68" s="141"/>
      <c r="U68" s="134"/>
      <c r="V68" s="134"/>
    </row>
    <row r="69" spans="1:22" ht="33.75" customHeight="1" x14ac:dyDescent="0.15">
      <c r="A69" s="134"/>
      <c r="B69" s="134"/>
      <c r="C69" s="138"/>
      <c r="D69" s="138"/>
      <c r="E69" s="143"/>
      <c r="F69" s="141"/>
      <c r="G69" s="134"/>
      <c r="H69" s="134"/>
      <c r="I69" s="134"/>
      <c r="J69" s="138">
        <f ca="1">IFERROR(__xludf.DUMMYFUNCTION("""COMPUTED_VALUE"""),160362)</f>
        <v>160362</v>
      </c>
      <c r="K69" s="138" t="str">
        <f ca="1">IFERROR(__xludf.DUMMYFUNCTION("""COMPUTED_VALUE"""),"Intermediate")</f>
        <v>Intermediate</v>
      </c>
      <c r="L69" s="139" t="str">
        <f ca="1">IFERROR(__xludf.DUMMYFUNCTION("""COMPUTED_VALUE"""),"Developing Your Leadership Philosophy")</f>
        <v>Developing Your Leadership Philosophy</v>
      </c>
      <c r="M69" s="152"/>
      <c r="N69" s="134"/>
      <c r="O69" s="134"/>
      <c r="P69" s="134"/>
      <c r="Q69" s="138">
        <f ca="1">IFERROR(__xludf.DUMMYFUNCTION("""COMPUTED_VALUE"""),2849189)</f>
        <v>2849189</v>
      </c>
      <c r="R69" s="138" t="str">
        <f ca="1">IFERROR(__xludf.DUMMYFUNCTION("""COMPUTED_VALUE"""),"Intermediate")</f>
        <v>Intermediate</v>
      </c>
      <c r="S69" s="139" t="str">
        <f ca="1">IFERROR(__xludf.DUMMYFUNCTION("""COMPUTED_VALUE"""),"Leading Change in Large, Distributed Organizations")</f>
        <v>Leading Change in Large, Distributed Organizations</v>
      </c>
      <c r="T69" s="141"/>
      <c r="U69" s="134"/>
      <c r="V69" s="134"/>
    </row>
    <row r="70" spans="1:22" ht="33.75" customHeight="1" x14ac:dyDescent="0.15">
      <c r="A70" s="134"/>
      <c r="B70" s="134"/>
      <c r="C70" s="138"/>
      <c r="D70" s="138"/>
      <c r="E70" s="143"/>
      <c r="F70" s="141"/>
      <c r="G70" s="134"/>
      <c r="H70" s="134"/>
      <c r="I70" s="134"/>
      <c r="J70" s="138">
        <f ca="1">IFERROR(__xludf.DUMMYFUNCTION("""COMPUTED_VALUE"""),373992)</f>
        <v>373992</v>
      </c>
      <c r="K70" s="138" t="str">
        <f ca="1">IFERROR(__xludf.DUMMYFUNCTION("""COMPUTED_VALUE"""),"Intermediate")</f>
        <v>Intermediate</v>
      </c>
      <c r="L70" s="139" t="str">
        <f ca="1">IFERROR(__xludf.DUMMYFUNCTION("""COMPUTED_VALUE"""),"Executive Decision-Making")</f>
        <v>Executive Decision-Making</v>
      </c>
      <c r="M70" s="152"/>
      <c r="N70" s="134"/>
      <c r="O70" s="134"/>
      <c r="P70" s="134"/>
      <c r="Q70" s="138"/>
      <c r="R70" s="138"/>
      <c r="S70" s="143"/>
      <c r="T70" s="141"/>
      <c r="U70" s="134"/>
      <c r="V70" s="134"/>
    </row>
    <row r="71" spans="1:22" ht="33.75" customHeight="1" x14ac:dyDescent="0.15">
      <c r="A71" s="134"/>
      <c r="B71" s="134"/>
      <c r="C71" s="138"/>
      <c r="D71" s="138"/>
      <c r="E71" s="143"/>
      <c r="F71" s="141"/>
      <c r="G71" s="134"/>
      <c r="H71" s="134"/>
      <c r="I71" s="134"/>
      <c r="J71" s="138">
        <f ca="1">IFERROR(__xludf.DUMMYFUNCTION("""COMPUTED_VALUE"""),167027)</f>
        <v>167027</v>
      </c>
      <c r="K71" s="138" t="str">
        <f ca="1">IFERROR(__xludf.DUMMYFUNCTION("""COMPUTED_VALUE"""),"Intermediate")</f>
        <v>Intermediate</v>
      </c>
      <c r="L71" s="139" t="str">
        <f ca="1">IFERROR(__xludf.DUMMYFUNCTION("""COMPUTED_VALUE"""),"Executive Leadership")</f>
        <v>Executive Leadership</v>
      </c>
      <c r="M71" s="152"/>
      <c r="N71" s="134"/>
      <c r="O71" s="134"/>
      <c r="P71" s="134"/>
      <c r="Q71" s="138"/>
      <c r="R71" s="138"/>
      <c r="S71" s="143"/>
      <c r="T71" s="141"/>
      <c r="U71" s="134"/>
      <c r="V71" s="134"/>
    </row>
    <row r="72" spans="1:22" ht="33.75" customHeight="1" x14ac:dyDescent="0.15">
      <c r="A72" s="134"/>
      <c r="B72" s="134"/>
      <c r="C72" s="138"/>
      <c r="D72" s="138"/>
      <c r="E72" s="143"/>
      <c r="F72" s="141"/>
      <c r="G72" s="134"/>
      <c r="H72" s="134"/>
      <c r="I72" s="134"/>
      <c r="J72" s="138">
        <f ca="1">IFERROR(__xludf.DUMMYFUNCTION("""COMPUTED_VALUE"""),2806197)</f>
        <v>2806197</v>
      </c>
      <c r="K72" s="138" t="str">
        <f ca="1">IFERROR(__xludf.DUMMYFUNCTION("""COMPUTED_VALUE"""),"Intermediate")</f>
        <v>Intermediate</v>
      </c>
      <c r="L72" s="139" t="str">
        <f ca="1">IFERROR(__xludf.DUMMYFUNCTION("""COMPUTED_VALUE"""),"Human-Centered Leadership")</f>
        <v>Human-Centered Leadership</v>
      </c>
      <c r="M72" s="152"/>
      <c r="N72" s="134"/>
      <c r="O72" s="134"/>
      <c r="P72" s="134"/>
      <c r="Q72" s="138"/>
      <c r="R72" s="138"/>
      <c r="S72" s="143"/>
      <c r="T72" s="141"/>
      <c r="U72" s="134"/>
      <c r="V72" s="134"/>
    </row>
    <row r="73" spans="1:22" ht="33.75" customHeight="1" x14ac:dyDescent="0.15">
      <c r="A73" s="134"/>
      <c r="B73" s="134"/>
      <c r="C73" s="138"/>
      <c r="D73" s="138"/>
      <c r="E73" s="143"/>
      <c r="F73" s="141"/>
      <c r="G73" s="134"/>
      <c r="H73" s="134"/>
      <c r="I73" s="134"/>
      <c r="J73" s="138">
        <f ca="1">IFERROR(__xludf.DUMMYFUNCTION("""COMPUTED_VALUE"""),645013)</f>
        <v>645013</v>
      </c>
      <c r="K73" s="138" t="str">
        <f ca="1">IFERROR(__xludf.DUMMYFUNCTION("""COMPUTED_VALUE"""),"Intermediate")</f>
        <v>Intermediate</v>
      </c>
      <c r="L73" s="139" t="str">
        <f ca="1">IFERROR(__xludf.DUMMYFUNCTION("""COMPUTED_VALUE"""),"Inclusive Leadership")</f>
        <v>Inclusive Leadership</v>
      </c>
      <c r="M73" s="152"/>
      <c r="N73" s="134"/>
      <c r="O73" s="134"/>
      <c r="P73" s="134"/>
      <c r="Q73" s="138"/>
      <c r="R73" s="138"/>
      <c r="S73" s="143"/>
      <c r="T73" s="141"/>
      <c r="U73" s="134"/>
      <c r="V73" s="134"/>
    </row>
    <row r="74" spans="1:22" ht="33.75" customHeight="1" x14ac:dyDescent="0.15">
      <c r="A74" s="134"/>
      <c r="B74" s="134"/>
      <c r="C74" s="138"/>
      <c r="D74" s="138"/>
      <c r="E74" s="143"/>
      <c r="F74" s="141"/>
      <c r="G74" s="134"/>
      <c r="H74" s="134"/>
      <c r="I74" s="134"/>
      <c r="J74" s="138">
        <f ca="1">IFERROR(__xludf.DUMMYFUNCTION("""COMPUTED_VALUE"""),672869)</f>
        <v>672869</v>
      </c>
      <c r="K74" s="138" t="str">
        <f ca="1">IFERROR(__xludf.DUMMYFUNCTION("""COMPUTED_VALUE"""),"Intermediate")</f>
        <v>Intermediate</v>
      </c>
      <c r="L74" s="139" t="str">
        <f ca="1">IFERROR(__xludf.DUMMYFUNCTION("""COMPUTED_VALUE"""),"Lead Like a Boss")</f>
        <v>Lead Like a Boss</v>
      </c>
      <c r="M74" s="152"/>
      <c r="N74" s="134"/>
      <c r="O74" s="134"/>
      <c r="P74" s="134"/>
      <c r="Q74" s="138"/>
      <c r="R74" s="138"/>
      <c r="S74" s="143"/>
      <c r="T74" s="141"/>
      <c r="U74" s="134"/>
      <c r="V74" s="134"/>
    </row>
    <row r="75" spans="1:22" ht="15" x14ac:dyDescent="0.15">
      <c r="A75" s="134"/>
      <c r="B75" s="134"/>
      <c r="C75" s="138"/>
      <c r="D75" s="138"/>
      <c r="E75" s="143"/>
      <c r="F75" s="141"/>
      <c r="G75" s="134"/>
      <c r="H75" s="134"/>
      <c r="I75" s="134"/>
      <c r="J75" s="138">
        <f ca="1">IFERROR(__xludf.DUMMYFUNCTION("""COMPUTED_VALUE"""),565362)</f>
        <v>565362</v>
      </c>
      <c r="K75" s="138" t="str">
        <f ca="1">IFERROR(__xludf.DUMMYFUNCTION("""COMPUTED_VALUE"""),"Intermediate")</f>
        <v>Intermediate</v>
      </c>
      <c r="L75" s="139" t="str">
        <f ca="1">IFERROR(__xludf.DUMMYFUNCTION("""COMPUTED_VALUE"""),"Leadership Blind Spots")</f>
        <v>Leadership Blind Spots</v>
      </c>
      <c r="M75" s="152"/>
      <c r="N75" s="134"/>
      <c r="O75" s="134"/>
      <c r="P75" s="134"/>
      <c r="Q75" s="138"/>
      <c r="R75" s="138"/>
      <c r="S75" s="143"/>
      <c r="T75" s="141"/>
      <c r="U75" s="134"/>
      <c r="V75" s="134"/>
    </row>
    <row r="76" spans="1:22" ht="15" x14ac:dyDescent="0.15">
      <c r="A76" s="134"/>
      <c r="B76" s="134"/>
      <c r="C76" s="138"/>
      <c r="D76" s="138"/>
      <c r="E76" s="143"/>
      <c r="F76" s="141"/>
      <c r="G76" s="134"/>
      <c r="H76" s="134"/>
      <c r="I76" s="134"/>
      <c r="J76" s="158">
        <f ca="1">IFERROR(__xludf.DUMMYFUNCTION("""COMPUTED_VALUE"""),175129)</f>
        <v>175129</v>
      </c>
      <c r="K76" s="158" t="str">
        <f ca="1">IFERROR(__xludf.DUMMYFUNCTION("""COMPUTED_VALUE"""),"Intermediate")</f>
        <v>Intermediate</v>
      </c>
      <c r="L76" s="139" t="str">
        <f ca="1">IFERROR(__xludf.DUMMYFUNCTION("""COMPUTED_VALUE"""),"Leading and Working in Teams")</f>
        <v>Leading and Working in Teams</v>
      </c>
      <c r="M76" s="152"/>
      <c r="N76" s="134"/>
      <c r="O76" s="134"/>
      <c r="P76" s="134"/>
      <c r="Q76" s="138"/>
      <c r="R76" s="138"/>
      <c r="S76" s="143"/>
      <c r="T76" s="141"/>
      <c r="U76" s="134"/>
      <c r="V76" s="134"/>
    </row>
    <row r="77" spans="1:22" ht="15" x14ac:dyDescent="0.15">
      <c r="A77" s="134"/>
      <c r="B77" s="134"/>
      <c r="C77" s="138"/>
      <c r="D77" s="138"/>
      <c r="E77" s="143"/>
      <c r="F77" s="141"/>
      <c r="G77" s="134"/>
      <c r="H77" s="134"/>
      <c r="I77" s="134"/>
      <c r="J77" s="138">
        <f ca="1">IFERROR(__xludf.DUMMYFUNCTION("""COMPUTED_VALUE"""),647651)</f>
        <v>647651</v>
      </c>
      <c r="K77" s="138" t="str">
        <f ca="1">IFERROR(__xludf.DUMMYFUNCTION("""COMPUTED_VALUE"""),"Intermediate")</f>
        <v>Intermediate</v>
      </c>
      <c r="L77" s="139" t="str">
        <f ca="1">IFERROR(__xludf.DUMMYFUNCTION("""COMPUTED_VALUE"""),"Leading Effectively")</f>
        <v>Leading Effectively</v>
      </c>
      <c r="M77" s="152"/>
      <c r="N77" s="134"/>
      <c r="O77" s="134"/>
      <c r="P77" s="134"/>
      <c r="Q77" s="138"/>
      <c r="R77" s="138"/>
      <c r="S77" s="143"/>
      <c r="T77" s="141"/>
      <c r="U77" s="134"/>
      <c r="V77" s="134"/>
    </row>
    <row r="78" spans="1:22" ht="15" x14ac:dyDescent="0.15">
      <c r="A78" s="134"/>
      <c r="B78" s="134"/>
      <c r="C78" s="138"/>
      <c r="D78" s="138"/>
      <c r="E78" s="143"/>
      <c r="F78" s="141"/>
      <c r="G78" s="134"/>
      <c r="H78" s="134"/>
      <c r="I78" s="134"/>
      <c r="J78" s="138">
        <f ca="1">IFERROR(__xludf.DUMMYFUNCTION("""COMPUTED_VALUE"""),483102)</f>
        <v>483102</v>
      </c>
      <c r="K78" s="138" t="str">
        <f ca="1">IFERROR(__xludf.DUMMYFUNCTION("""COMPUTED_VALUE"""),"Intermediate")</f>
        <v>Intermediate</v>
      </c>
      <c r="L78" s="139" t="str">
        <f ca="1">IFERROR(__xludf.DUMMYFUNCTION("""COMPUTED_VALUE"""),"Leading Projects")</f>
        <v>Leading Projects</v>
      </c>
      <c r="M78" s="152"/>
      <c r="N78" s="134"/>
      <c r="O78" s="134"/>
      <c r="P78" s="134"/>
      <c r="Q78" s="138"/>
      <c r="R78" s="138"/>
      <c r="S78" s="143"/>
      <c r="T78" s="141"/>
      <c r="U78" s="134"/>
      <c r="V78" s="134"/>
    </row>
    <row r="79" spans="1:22" ht="15" x14ac:dyDescent="0.15">
      <c r="A79" s="134"/>
      <c r="B79" s="134"/>
      <c r="C79" s="138"/>
      <c r="D79" s="138"/>
      <c r="E79" s="143"/>
      <c r="F79" s="141"/>
      <c r="G79" s="134"/>
      <c r="H79" s="134"/>
      <c r="I79" s="134"/>
      <c r="J79" s="138">
        <f ca="1">IFERROR(__xludf.DUMMYFUNCTION("""COMPUTED_VALUE"""),808670)</f>
        <v>808670</v>
      </c>
      <c r="K79" s="138" t="str">
        <f ca="1">IFERROR(__xludf.DUMMYFUNCTION("""COMPUTED_VALUE"""),"Intermediate")</f>
        <v>Intermediate</v>
      </c>
      <c r="L79" s="139" t="str">
        <f ca="1">IFERROR(__xludf.DUMMYFUNCTION("""COMPUTED_VALUE"""),"Leading through Relationships")</f>
        <v>Leading through Relationships</v>
      </c>
      <c r="M79" s="152"/>
      <c r="N79" s="134"/>
      <c r="O79" s="134"/>
      <c r="P79" s="134"/>
      <c r="Q79" s="138"/>
      <c r="R79" s="138"/>
      <c r="S79" s="143"/>
      <c r="T79" s="141"/>
      <c r="U79" s="134"/>
      <c r="V79" s="134"/>
    </row>
    <row r="80" spans="1:22" ht="15" x14ac:dyDescent="0.15">
      <c r="A80" s="134"/>
      <c r="B80" s="134"/>
      <c r="C80" s="138"/>
      <c r="D80" s="138"/>
      <c r="E80" s="143"/>
      <c r="F80" s="141"/>
      <c r="G80" s="134"/>
      <c r="H80" s="134"/>
      <c r="I80" s="134"/>
      <c r="J80" s="138">
        <f ca="1">IFERROR(__xludf.DUMMYFUNCTION("""COMPUTED_VALUE"""),2814066)</f>
        <v>2814066</v>
      </c>
      <c r="K80" s="138" t="str">
        <f ca="1">IFERROR(__xludf.DUMMYFUNCTION("""COMPUTED_VALUE"""),"Intermediate")</f>
        <v>Intermediate</v>
      </c>
      <c r="L80" s="139" t="str">
        <f ca="1">IFERROR(__xludf.DUMMYFUNCTION("""COMPUTED_VALUE"""),"Leading with Kindness and Strength")</f>
        <v>Leading with Kindness and Strength</v>
      </c>
      <c r="M80" s="152"/>
      <c r="N80" s="134"/>
      <c r="O80" s="134"/>
      <c r="P80" s="134"/>
      <c r="Q80" s="138"/>
      <c r="R80" s="138"/>
      <c r="S80" s="143"/>
      <c r="T80" s="141"/>
      <c r="U80" s="134"/>
      <c r="V80" s="134"/>
    </row>
    <row r="81" spans="1:22" ht="15" x14ac:dyDescent="0.15">
      <c r="A81" s="144"/>
      <c r="B81" s="144"/>
      <c r="C81" s="138"/>
      <c r="D81" s="138"/>
      <c r="E81" s="143"/>
      <c r="F81" s="141"/>
      <c r="G81" s="144"/>
      <c r="H81" s="144"/>
      <c r="I81" s="144"/>
      <c r="J81" s="138">
        <f ca="1">IFERROR(__xludf.DUMMYFUNCTION("""COMPUTED_VALUE"""),756285)</f>
        <v>756285</v>
      </c>
      <c r="K81" s="138" t="str">
        <f ca="1">IFERROR(__xludf.DUMMYFUNCTION("""COMPUTED_VALUE"""),"Intermediate")</f>
        <v>Intermediate</v>
      </c>
      <c r="L81" s="139" t="str">
        <f ca="1">IFERROR(__xludf.DUMMYFUNCTION("""COMPUTED_VALUE"""),"Leading with Purpose")</f>
        <v>Leading with Purpose</v>
      </c>
      <c r="M81" s="152"/>
      <c r="N81" s="144"/>
      <c r="O81" s="144"/>
      <c r="P81" s="144"/>
      <c r="Q81" s="138"/>
      <c r="R81" s="138"/>
      <c r="S81" s="143"/>
      <c r="T81" s="141"/>
      <c r="U81" s="144"/>
      <c r="V81" s="144"/>
    </row>
    <row r="82" spans="1:22" ht="15" x14ac:dyDescent="0.15">
      <c r="A82" s="144"/>
      <c r="B82" s="144"/>
      <c r="C82" s="138"/>
      <c r="D82" s="138"/>
      <c r="E82" s="143"/>
      <c r="F82" s="141"/>
      <c r="G82" s="144"/>
      <c r="H82" s="144"/>
      <c r="I82" s="144"/>
      <c r="J82" s="138">
        <f ca="1">IFERROR(__xludf.DUMMYFUNCTION("""COMPUTED_VALUE"""),585229)</f>
        <v>585229</v>
      </c>
      <c r="K82" s="138" t="str">
        <f ca="1">IFERROR(__xludf.DUMMYFUNCTION("""COMPUTED_VALUE"""),"Intermediate")</f>
        <v>Intermediate</v>
      </c>
      <c r="L82" s="139" t="str">
        <f ca="1">IFERROR(__xludf.DUMMYFUNCTION("""COMPUTED_VALUE"""),"Leading without Formal Authority")</f>
        <v>Leading without Formal Authority</v>
      </c>
      <c r="M82" s="152"/>
      <c r="N82" s="144"/>
      <c r="O82" s="144"/>
      <c r="P82" s="144"/>
      <c r="Q82" s="138"/>
      <c r="R82" s="138"/>
      <c r="S82" s="143"/>
      <c r="T82" s="141"/>
      <c r="U82" s="144"/>
      <c r="V82" s="144"/>
    </row>
    <row r="83" spans="1:22" ht="30" x14ac:dyDescent="0.15">
      <c r="A83" s="144"/>
      <c r="B83" s="144"/>
      <c r="C83" s="138"/>
      <c r="D83" s="138"/>
      <c r="E83" s="143"/>
      <c r="F83" s="141"/>
      <c r="G83" s="144"/>
      <c r="H83" s="144"/>
      <c r="I83" s="144"/>
      <c r="J83" s="138">
        <f ca="1">IFERROR(__xludf.DUMMYFUNCTION("""COMPUTED_VALUE"""),2802465)</f>
        <v>2802465</v>
      </c>
      <c r="K83" s="138" t="str">
        <f ca="1">IFERROR(__xludf.DUMMYFUNCTION("""COMPUTED_VALUE"""),"Intermediate")</f>
        <v>Intermediate</v>
      </c>
      <c r="L83" s="139" t="str">
        <f ca="1">IFERROR(__xludf.DUMMYFUNCTION("""COMPUTED_VALUE"""),"Learn the Process of Effective Leadership")</f>
        <v>Learn the Process of Effective Leadership</v>
      </c>
      <c r="M83" s="152"/>
      <c r="N83" s="144"/>
      <c r="O83" s="144"/>
      <c r="P83" s="144"/>
      <c r="Q83" s="138"/>
      <c r="R83" s="138"/>
      <c r="S83" s="143"/>
      <c r="T83" s="141"/>
      <c r="U83" s="144"/>
      <c r="V83" s="144"/>
    </row>
    <row r="84" spans="1:22" ht="15" x14ac:dyDescent="0.15">
      <c r="A84" s="144"/>
      <c r="B84" s="144"/>
      <c r="C84" s="138"/>
      <c r="D84" s="138"/>
      <c r="E84" s="143"/>
      <c r="F84" s="141"/>
      <c r="G84" s="144"/>
      <c r="H84" s="144"/>
      <c r="I84" s="144"/>
      <c r="J84" s="138">
        <f ca="1">IFERROR(__xludf.DUMMYFUNCTION("""COMPUTED_VALUE"""),553472)</f>
        <v>553472</v>
      </c>
      <c r="K84" s="138" t="str">
        <f ca="1">IFERROR(__xludf.DUMMYFUNCTION("""COMPUTED_VALUE"""),"Intermediate")</f>
        <v>Intermediate</v>
      </c>
      <c r="L84" s="139" t="str">
        <f ca="1">IFERROR(__xludf.DUMMYFUNCTION("""COMPUTED_VALUE"""),"Negotiating Your Leadership Success")</f>
        <v>Negotiating Your Leadership Success</v>
      </c>
      <c r="M84" s="152"/>
      <c r="N84" s="144"/>
      <c r="O84" s="144"/>
      <c r="P84" s="144"/>
      <c r="Q84" s="138"/>
      <c r="R84" s="138"/>
      <c r="S84" s="143"/>
      <c r="T84" s="141"/>
      <c r="U84" s="144"/>
      <c r="V84" s="144"/>
    </row>
    <row r="85" spans="1:22" ht="15" x14ac:dyDescent="0.15">
      <c r="A85" s="144"/>
      <c r="B85" s="144"/>
      <c r="C85" s="138"/>
      <c r="D85" s="138"/>
      <c r="E85" s="143"/>
      <c r="F85" s="141"/>
      <c r="G85" s="144"/>
      <c r="H85" s="144"/>
      <c r="I85" s="144"/>
      <c r="J85" s="138">
        <f ca="1">IFERROR(__xludf.DUMMYFUNCTION("""COMPUTED_VALUE"""),387349)</f>
        <v>387349</v>
      </c>
      <c r="K85" s="138" t="str">
        <f ca="1">IFERROR(__xludf.DUMMYFUNCTION("""COMPUTED_VALUE"""),"Intermediate")</f>
        <v>Intermediate</v>
      </c>
      <c r="L85" s="139" t="str">
        <f ca="1">IFERROR(__xludf.DUMMYFUNCTION("""COMPUTED_VALUE"""),"Powerless to Powerful: Taking Control")</f>
        <v>Powerless to Powerful: Taking Control</v>
      </c>
      <c r="M85" s="152"/>
      <c r="N85" s="144"/>
      <c r="O85" s="144"/>
      <c r="P85" s="144"/>
      <c r="Q85" s="138"/>
      <c r="R85" s="138"/>
      <c r="S85" s="143"/>
      <c r="T85" s="141"/>
      <c r="U85" s="144"/>
      <c r="V85" s="144"/>
    </row>
    <row r="86" spans="1:22" ht="15" x14ac:dyDescent="0.15">
      <c r="A86" s="144"/>
      <c r="B86" s="144"/>
      <c r="C86" s="138"/>
      <c r="D86" s="138"/>
      <c r="E86" s="143"/>
      <c r="F86" s="141"/>
      <c r="G86" s="144"/>
      <c r="H86" s="144"/>
      <c r="I86" s="144"/>
      <c r="J86" s="138">
        <f ca="1">IFERROR(__xludf.DUMMYFUNCTION("""COMPUTED_VALUE"""),420309)</f>
        <v>420309</v>
      </c>
      <c r="K86" s="138" t="str">
        <f ca="1">IFERROR(__xludf.DUMMYFUNCTION("""COMPUTED_VALUE"""),"Intermediate")</f>
        <v>Intermediate</v>
      </c>
      <c r="L86" s="139" t="str">
        <f ca="1">IFERROR(__xludf.DUMMYFUNCTION("""COMPUTED_VALUE"""),"Risk-Taking for Leaders")</f>
        <v>Risk-Taking for Leaders</v>
      </c>
      <c r="M86" s="152"/>
      <c r="N86" s="144"/>
      <c r="O86" s="144"/>
      <c r="P86" s="144"/>
      <c r="Q86" s="138"/>
      <c r="R86" s="138"/>
      <c r="S86" s="143"/>
      <c r="T86" s="141"/>
      <c r="U86" s="144"/>
      <c r="V86" s="144"/>
    </row>
    <row r="87" spans="1:22" ht="30" x14ac:dyDescent="0.15">
      <c r="A87" s="144"/>
      <c r="B87" s="144"/>
      <c r="C87" s="138"/>
      <c r="D87" s="138"/>
      <c r="E87" s="143"/>
      <c r="F87" s="141"/>
      <c r="G87" s="144"/>
      <c r="H87" s="144"/>
      <c r="I87" s="144"/>
      <c r="J87" s="138">
        <f ca="1">IFERROR(__xludf.DUMMYFUNCTION("""COMPUTED_VALUE"""),2802024)</f>
        <v>2802024</v>
      </c>
      <c r="K87" s="138" t="str">
        <f ca="1">IFERROR(__xludf.DUMMYFUNCTION("""COMPUTED_VALUE"""),"Intermediate")</f>
        <v>Intermediate</v>
      </c>
      <c r="L87" s="139" t="str">
        <f ca="1">IFERROR(__xludf.DUMMYFUNCTION("""COMPUTED_VALUE"""),"Business Ethics for Managers and Leaders")</f>
        <v>Business Ethics for Managers and Leaders</v>
      </c>
      <c r="M87" s="152"/>
      <c r="N87" s="144"/>
      <c r="O87" s="144"/>
      <c r="P87" s="144"/>
      <c r="Q87" s="138"/>
      <c r="R87" s="138"/>
      <c r="S87" s="143"/>
      <c r="T87" s="141"/>
      <c r="U87" s="144"/>
      <c r="V87" s="144"/>
    </row>
    <row r="88" spans="1:22" ht="15" x14ac:dyDescent="0.15">
      <c r="A88" s="144"/>
      <c r="B88" s="144"/>
      <c r="C88" s="138"/>
      <c r="D88" s="138"/>
      <c r="E88" s="143"/>
      <c r="F88" s="141"/>
      <c r="G88" s="144"/>
      <c r="H88" s="144"/>
      <c r="I88" s="144"/>
      <c r="J88" s="138">
        <f ca="1">IFERROR(__xludf.DUMMYFUNCTION("""COMPUTED_VALUE"""),2811020)</f>
        <v>2811020</v>
      </c>
      <c r="K88" s="138" t="str">
        <f ca="1">IFERROR(__xludf.DUMMYFUNCTION("""COMPUTED_VALUE"""),"Intermediate")</f>
        <v>Intermediate</v>
      </c>
      <c r="L88" s="139" t="str">
        <f ca="1">IFERROR(__xludf.DUMMYFUNCTION("""COMPUTED_VALUE"""),"Navigating Politics as a Senior Leader")</f>
        <v>Navigating Politics as a Senior Leader</v>
      </c>
      <c r="M88" s="152"/>
      <c r="N88" s="144"/>
      <c r="O88" s="144"/>
      <c r="P88" s="144"/>
      <c r="Q88" s="138"/>
      <c r="R88" s="138"/>
      <c r="S88" s="143"/>
      <c r="T88" s="141"/>
      <c r="U88" s="144"/>
      <c r="V88" s="144"/>
    </row>
    <row r="89" spans="1:22" ht="15" x14ac:dyDescent="0.15">
      <c r="A89" s="144"/>
      <c r="B89" s="144"/>
      <c r="C89" s="138"/>
      <c r="D89" s="138"/>
      <c r="E89" s="143"/>
      <c r="F89" s="141"/>
      <c r="G89" s="144"/>
      <c r="H89" s="144"/>
      <c r="I89" s="144"/>
      <c r="J89" s="138">
        <f ca="1">IFERROR(__xludf.DUMMYFUNCTION("""COMPUTED_VALUE"""),2812534)</f>
        <v>2812534</v>
      </c>
      <c r="K89" s="138" t="str">
        <f ca="1">IFERROR(__xludf.DUMMYFUNCTION("""COMPUTED_VALUE"""),"Intermediate")</f>
        <v>Intermediate</v>
      </c>
      <c r="L89" s="139" t="str">
        <f ca="1">IFERROR(__xludf.DUMMYFUNCTION("""COMPUTED_VALUE"""),"Lessons in Enlightened Leadership")</f>
        <v>Lessons in Enlightened Leadership</v>
      </c>
      <c r="M89" s="152"/>
      <c r="N89" s="144"/>
      <c r="O89" s="144"/>
      <c r="P89" s="144"/>
      <c r="Q89" s="138"/>
      <c r="R89" s="138"/>
      <c r="S89" s="143"/>
      <c r="T89" s="141"/>
      <c r="U89" s="144"/>
      <c r="V89" s="144"/>
    </row>
    <row r="90" spans="1:22" ht="30" x14ac:dyDescent="0.15">
      <c r="A90" s="144"/>
      <c r="B90" s="144"/>
      <c r="C90" s="145"/>
      <c r="D90" s="145"/>
      <c r="E90" s="148"/>
      <c r="F90" s="147"/>
      <c r="G90" s="144"/>
      <c r="H90" s="144"/>
      <c r="I90" s="144"/>
      <c r="J90" s="145">
        <f ca="1">IFERROR(__xludf.DUMMYFUNCTION("""COMPUTED_VALUE"""),2228264)</f>
        <v>2228264</v>
      </c>
      <c r="K90" s="145" t="str">
        <f ca="1">IFERROR(__xludf.DUMMYFUNCTION("""COMPUTED_VALUE"""),"Intermediate")</f>
        <v>Intermediate</v>
      </c>
      <c r="L90" s="146" t="str">
        <f ca="1">IFERROR(__xludf.DUMMYFUNCTION("""COMPUTED_VALUE"""),"Having Career Conversations with Your Team")</f>
        <v>Having Career Conversations with Your Team</v>
      </c>
      <c r="M90" s="155"/>
      <c r="N90" s="144"/>
      <c r="O90" s="144"/>
      <c r="P90" s="144"/>
      <c r="Q90" s="145"/>
      <c r="R90" s="145"/>
      <c r="S90" s="148"/>
      <c r="T90" s="147"/>
      <c r="U90" s="144"/>
      <c r="V90" s="144"/>
    </row>
    <row r="91" spans="1:22" ht="15" x14ac:dyDescent="0.15">
      <c r="A91" s="144"/>
      <c r="B91" s="144"/>
      <c r="C91" s="145"/>
      <c r="D91" s="145"/>
      <c r="E91" s="148"/>
      <c r="F91" s="147"/>
      <c r="G91" s="144"/>
      <c r="H91" s="144"/>
      <c r="I91" s="144"/>
      <c r="J91" s="145">
        <f ca="1">IFERROR(__xludf.DUMMYFUNCTION("""COMPUTED_VALUE"""),2813183)</f>
        <v>2813183</v>
      </c>
      <c r="K91" s="145" t="str">
        <f ca="1">IFERROR(__xludf.DUMMYFUNCTION("""COMPUTED_VALUE"""),"Intermediate")</f>
        <v>Intermediate</v>
      </c>
      <c r="L91" s="146" t="str">
        <f ca="1">IFERROR(__xludf.DUMMYFUNCTION("""COMPUTED_VALUE"""),"Leading with Values")</f>
        <v>Leading with Values</v>
      </c>
      <c r="M91" s="155"/>
      <c r="N91" s="144"/>
      <c r="O91" s="144"/>
      <c r="P91" s="144"/>
      <c r="Q91" s="145"/>
      <c r="R91" s="145"/>
      <c r="S91" s="148"/>
      <c r="T91" s="147"/>
      <c r="U91" s="144"/>
      <c r="V91" s="144"/>
    </row>
    <row r="92" spans="1:22" ht="30" x14ac:dyDescent="0.15">
      <c r="A92" s="144"/>
      <c r="B92" s="144"/>
      <c r="C92" s="145"/>
      <c r="D92" s="145"/>
      <c r="E92" s="148"/>
      <c r="F92" s="147"/>
      <c r="G92" s="144"/>
      <c r="H92" s="144"/>
      <c r="I92" s="144"/>
      <c r="J92" s="145">
        <f ca="1">IFERROR(__xludf.DUMMYFUNCTION("""COMPUTED_VALUE"""),2825124)</f>
        <v>2825124</v>
      </c>
      <c r="K92" s="145" t="str">
        <f ca="1">IFERROR(__xludf.DUMMYFUNCTION("""COMPUTED_VALUE"""),"Intermediate")</f>
        <v>Intermediate</v>
      </c>
      <c r="L92" s="146" t="str">
        <f ca="1">IFERROR(__xludf.DUMMYFUNCTION("""COMPUTED_VALUE"""),"Building and Managing a High-Performing Sales Team")</f>
        <v>Building and Managing a High-Performing Sales Team</v>
      </c>
      <c r="M92" s="155"/>
      <c r="N92" s="144"/>
      <c r="O92" s="144"/>
      <c r="P92" s="144"/>
      <c r="Q92" s="145"/>
      <c r="R92" s="145"/>
      <c r="S92" s="148"/>
      <c r="T92" s="147"/>
      <c r="U92" s="144"/>
      <c r="V92" s="144"/>
    </row>
    <row r="93" spans="1:22" ht="30" x14ac:dyDescent="0.15">
      <c r="A93" s="144"/>
      <c r="B93" s="144"/>
      <c r="C93" s="145"/>
      <c r="D93" s="145"/>
      <c r="E93" s="148"/>
      <c r="F93" s="147"/>
      <c r="G93" s="144"/>
      <c r="H93" s="144"/>
      <c r="I93" s="144"/>
      <c r="J93" s="145">
        <f ca="1">IFERROR(__xludf.DUMMYFUNCTION("""COMPUTED_VALUE"""),2825499)</f>
        <v>2825499</v>
      </c>
      <c r="K93" s="145" t="str">
        <f ca="1">IFERROR(__xludf.DUMMYFUNCTION("""COMPUTED_VALUE"""),"Intermediate")</f>
        <v>Intermediate</v>
      </c>
      <c r="L93" s="146" t="str">
        <f ca="1">IFERROR(__xludf.DUMMYFUNCTION("""COMPUTED_VALUE"""),"Predictive Analytics Essential Training for Executives")</f>
        <v>Predictive Analytics Essential Training for Executives</v>
      </c>
      <c r="M93" s="155"/>
      <c r="N93" s="144"/>
      <c r="O93" s="144"/>
      <c r="P93" s="144"/>
      <c r="Q93" s="145"/>
      <c r="R93" s="145"/>
      <c r="S93" s="148"/>
      <c r="T93" s="147"/>
      <c r="U93" s="144"/>
      <c r="V93" s="144"/>
    </row>
    <row r="94" spans="1:22" ht="15" x14ac:dyDescent="0.15">
      <c r="A94" s="144"/>
      <c r="B94" s="144"/>
      <c r="C94" s="145"/>
      <c r="D94" s="145"/>
      <c r="E94" s="148"/>
      <c r="F94" s="147"/>
      <c r="G94" s="144"/>
      <c r="H94" s="144"/>
      <c r="I94" s="144"/>
      <c r="J94" s="145">
        <f ca="1">IFERROR(__xludf.DUMMYFUNCTION("""COMPUTED_VALUE"""),2822642)</f>
        <v>2822642</v>
      </c>
      <c r="K94" s="145" t="str">
        <f ca="1">IFERROR(__xludf.DUMMYFUNCTION("""COMPUTED_VALUE"""),"Intermediate")</f>
        <v>Intermediate</v>
      </c>
      <c r="L94" s="146" t="str">
        <f ca="1">IFERROR(__xludf.DUMMYFUNCTION("""COMPUTED_VALUE"""),"Leadership Mindsets")</f>
        <v>Leadership Mindsets</v>
      </c>
      <c r="M94" s="155"/>
      <c r="N94" s="144"/>
      <c r="O94" s="144"/>
      <c r="P94" s="144"/>
      <c r="Q94" s="145"/>
      <c r="R94" s="145"/>
      <c r="S94" s="148"/>
      <c r="T94" s="147"/>
      <c r="U94" s="144"/>
      <c r="V94" s="144"/>
    </row>
    <row r="95" spans="1:22" ht="30" x14ac:dyDescent="0.15">
      <c r="A95" s="144"/>
      <c r="B95" s="144"/>
      <c r="C95" s="145"/>
      <c r="D95" s="145"/>
      <c r="E95" s="148"/>
      <c r="F95" s="147"/>
      <c r="G95" s="144"/>
      <c r="H95" s="144"/>
      <c r="I95" s="144"/>
      <c r="J95" s="145">
        <f ca="1">IFERROR(__xludf.DUMMYFUNCTION("""COMPUTED_VALUE"""),2824374)</f>
        <v>2824374</v>
      </c>
      <c r="K95" s="145" t="str">
        <f ca="1">IFERROR(__xludf.DUMMYFUNCTION("""COMPUTED_VALUE"""),"Intermediate")</f>
        <v>Intermediate</v>
      </c>
      <c r="L95" s="146" t="str">
        <f ca="1">IFERROR(__xludf.DUMMYFUNCTION("""COMPUTED_VALUE"""),"How Leaders Can Motivate Others by Creating Meaning")</f>
        <v>How Leaders Can Motivate Others by Creating Meaning</v>
      </c>
      <c r="M95" s="155"/>
      <c r="N95" s="144"/>
      <c r="O95" s="144"/>
      <c r="P95" s="144"/>
      <c r="Q95" s="145"/>
      <c r="R95" s="145"/>
      <c r="S95" s="148"/>
      <c r="T95" s="147"/>
      <c r="U95" s="144"/>
      <c r="V95" s="144"/>
    </row>
    <row r="96" spans="1:22" ht="30" x14ac:dyDescent="0.15">
      <c r="A96" s="144"/>
      <c r="B96" s="144"/>
      <c r="C96" s="145"/>
      <c r="D96" s="145"/>
      <c r="E96" s="148"/>
      <c r="F96" s="147"/>
      <c r="G96" s="144"/>
      <c r="H96" s="144"/>
      <c r="I96" s="144"/>
      <c r="J96" s="145">
        <f ca="1">IFERROR(__xludf.DUMMYFUNCTION("""COMPUTED_VALUE"""),2836015)</f>
        <v>2836015</v>
      </c>
      <c r="K96" s="145" t="str">
        <f ca="1">IFERROR(__xludf.DUMMYFUNCTION("""COMPUTED_VALUE"""),"Intermediate")</f>
        <v>Intermediate</v>
      </c>
      <c r="L96" s="146" t="str">
        <f ca="1">IFERROR(__xludf.DUMMYFUNCTION("""COMPUTED_VALUE"""),"How to Innovate and Stay Relevant in Times of Change and Uncertainty")</f>
        <v>How to Innovate and Stay Relevant in Times of Change and Uncertainty</v>
      </c>
      <c r="M96" s="155"/>
      <c r="N96" s="144"/>
      <c r="O96" s="144"/>
      <c r="P96" s="144"/>
      <c r="Q96" s="145"/>
      <c r="R96" s="145"/>
      <c r="S96" s="148"/>
      <c r="T96" s="147"/>
      <c r="U96" s="144"/>
      <c r="V96" s="144"/>
    </row>
    <row r="97" spans="1:22" ht="15" x14ac:dyDescent="0.15">
      <c r="A97" s="144"/>
      <c r="B97" s="144"/>
      <c r="C97" s="145"/>
      <c r="D97" s="145"/>
      <c r="E97" s="148"/>
      <c r="F97" s="147"/>
      <c r="G97" s="144"/>
      <c r="H97" s="144"/>
      <c r="I97" s="144"/>
      <c r="J97" s="145">
        <f ca="1">IFERROR(__xludf.DUMMYFUNCTION("""COMPUTED_VALUE"""),2838146)</f>
        <v>2838146</v>
      </c>
      <c r="K97" s="145" t="str">
        <f ca="1">IFERROR(__xludf.DUMMYFUNCTION("""COMPUTED_VALUE"""),"Intermediate")</f>
        <v>Intermediate</v>
      </c>
      <c r="L97" s="146" t="str">
        <f ca="1">IFERROR(__xludf.DUMMYFUNCTION("""COMPUTED_VALUE"""),"Leading in Uncertain Times")</f>
        <v>Leading in Uncertain Times</v>
      </c>
      <c r="M97" s="155"/>
      <c r="N97" s="144"/>
      <c r="O97" s="144"/>
      <c r="P97" s="144"/>
      <c r="Q97" s="145"/>
      <c r="R97" s="145"/>
      <c r="S97" s="148"/>
      <c r="T97" s="147"/>
      <c r="U97" s="144"/>
      <c r="V97" s="144"/>
    </row>
    <row r="98" spans="1:22" ht="30" x14ac:dyDescent="0.15">
      <c r="A98" s="144"/>
      <c r="B98" s="144"/>
      <c r="C98" s="145"/>
      <c r="D98" s="145"/>
      <c r="E98" s="148"/>
      <c r="F98" s="147"/>
      <c r="G98" s="144"/>
      <c r="H98" s="144"/>
      <c r="I98" s="144"/>
      <c r="J98" s="145">
        <f ca="1">IFERROR(__xludf.DUMMYFUNCTION("""COMPUTED_VALUE"""),2849189)</f>
        <v>2849189</v>
      </c>
      <c r="K98" s="145" t="str">
        <f ca="1">IFERROR(__xludf.DUMMYFUNCTION("""COMPUTED_VALUE"""),"Intermediate")</f>
        <v>Intermediate</v>
      </c>
      <c r="L98" s="146" t="str">
        <f ca="1">IFERROR(__xludf.DUMMYFUNCTION("""COMPUTED_VALUE"""),"Leading Change in Large, Distributed Organizations")</f>
        <v>Leading Change in Large, Distributed Organizations</v>
      </c>
      <c r="M98" s="155"/>
      <c r="N98" s="144"/>
      <c r="O98" s="144"/>
      <c r="P98" s="144"/>
      <c r="Q98" s="145"/>
      <c r="R98" s="145"/>
      <c r="S98" s="148"/>
      <c r="T98" s="147"/>
      <c r="U98" s="144"/>
      <c r="V98" s="144"/>
    </row>
    <row r="99" spans="1:22" ht="30" x14ac:dyDescent="0.15">
      <c r="A99" s="144"/>
      <c r="B99" s="144"/>
      <c r="C99" s="145"/>
      <c r="D99" s="145"/>
      <c r="E99" s="148"/>
      <c r="F99" s="147"/>
      <c r="G99" s="144"/>
      <c r="H99" s="144"/>
      <c r="I99" s="144"/>
      <c r="J99" s="145">
        <f ca="1">IFERROR(__xludf.DUMMYFUNCTION("""COMPUTED_VALUE"""),2837260)</f>
        <v>2837260</v>
      </c>
      <c r="K99" s="145" t="str">
        <f ca="1">IFERROR(__xludf.DUMMYFUNCTION("""COMPUTED_VALUE"""),"Intermediate")</f>
        <v>Intermediate</v>
      </c>
      <c r="L99" s="146" t="str">
        <f ca="1">IFERROR(__xludf.DUMMYFUNCTION("""COMPUTED_VALUE"""),"The Definitive Drucker (getAbstract Summary)")</f>
        <v>The Definitive Drucker (getAbstract Summary)</v>
      </c>
      <c r="M99" s="155"/>
      <c r="N99" s="144"/>
      <c r="O99" s="144"/>
      <c r="P99" s="144"/>
      <c r="Q99" s="145"/>
      <c r="R99" s="145"/>
      <c r="S99" s="148"/>
      <c r="T99" s="147"/>
      <c r="U99" s="144"/>
      <c r="V99" s="144"/>
    </row>
    <row r="100" spans="1:22" ht="14" x14ac:dyDescent="0.15">
      <c r="A100" s="144"/>
      <c r="B100" s="144"/>
      <c r="C100" s="145"/>
      <c r="D100" s="145"/>
      <c r="E100" s="148"/>
      <c r="F100" s="147"/>
      <c r="G100" s="144"/>
      <c r="H100" s="144"/>
      <c r="I100" s="144"/>
      <c r="J100" s="145"/>
      <c r="K100" s="145"/>
      <c r="L100" s="148"/>
      <c r="M100" s="155"/>
      <c r="N100" s="144"/>
      <c r="O100" s="144"/>
      <c r="P100" s="144"/>
      <c r="Q100" s="145"/>
      <c r="R100" s="145"/>
      <c r="S100" s="148"/>
      <c r="T100" s="147"/>
      <c r="U100" s="144"/>
      <c r="V100" s="144"/>
    </row>
    <row r="101" spans="1:22" ht="14" x14ac:dyDescent="0.15">
      <c r="A101" s="144"/>
      <c r="B101" s="144"/>
      <c r="C101" s="145"/>
      <c r="D101" s="145"/>
      <c r="E101" s="148"/>
      <c r="F101" s="147"/>
      <c r="G101" s="144"/>
      <c r="H101" s="144"/>
      <c r="I101" s="144"/>
      <c r="J101" s="145"/>
      <c r="K101" s="145"/>
      <c r="L101" s="148"/>
      <c r="M101" s="155"/>
      <c r="N101" s="144"/>
      <c r="O101" s="144"/>
      <c r="P101" s="144"/>
      <c r="Q101" s="145"/>
      <c r="R101" s="145"/>
      <c r="S101" s="148"/>
      <c r="T101" s="147"/>
      <c r="U101" s="144"/>
      <c r="V101" s="144"/>
    </row>
    <row r="102" spans="1:22" ht="14" x14ac:dyDescent="0.15">
      <c r="A102" s="144"/>
      <c r="B102" s="144"/>
      <c r="C102" s="145"/>
      <c r="D102" s="145"/>
      <c r="E102" s="148"/>
      <c r="F102" s="147"/>
      <c r="G102" s="144"/>
      <c r="H102" s="144"/>
      <c r="I102" s="144"/>
      <c r="J102" s="145"/>
      <c r="K102" s="145"/>
      <c r="L102" s="148"/>
      <c r="M102" s="155"/>
      <c r="N102" s="144"/>
      <c r="O102" s="144"/>
      <c r="P102" s="144"/>
      <c r="Q102" s="145"/>
      <c r="R102" s="145"/>
      <c r="S102" s="148"/>
      <c r="T102" s="147"/>
      <c r="U102" s="144"/>
      <c r="V102" s="144"/>
    </row>
    <row r="103" spans="1:22" ht="14" x14ac:dyDescent="0.15">
      <c r="A103" s="144"/>
      <c r="B103" s="144"/>
      <c r="C103" s="145"/>
      <c r="D103" s="145"/>
      <c r="E103" s="148"/>
      <c r="F103" s="147"/>
      <c r="G103" s="144"/>
      <c r="H103" s="144"/>
      <c r="I103" s="144"/>
      <c r="J103" s="145"/>
      <c r="K103" s="145"/>
      <c r="L103" s="148"/>
      <c r="M103" s="155"/>
      <c r="N103" s="144"/>
      <c r="O103" s="144"/>
      <c r="P103" s="144"/>
      <c r="Q103" s="145"/>
      <c r="R103" s="145"/>
      <c r="S103" s="148"/>
      <c r="T103" s="147"/>
      <c r="U103" s="144"/>
      <c r="V103" s="144"/>
    </row>
    <row r="104" spans="1:22" ht="14" x14ac:dyDescent="0.15">
      <c r="A104" s="144"/>
      <c r="B104" s="144"/>
      <c r="C104" s="145"/>
      <c r="D104" s="145"/>
      <c r="E104" s="148"/>
      <c r="F104" s="147"/>
      <c r="G104" s="144"/>
      <c r="H104" s="144"/>
      <c r="I104" s="144"/>
      <c r="J104" s="145"/>
      <c r="K104" s="145"/>
      <c r="L104" s="148"/>
      <c r="M104" s="155"/>
      <c r="N104" s="144"/>
      <c r="O104" s="144"/>
      <c r="P104" s="144"/>
      <c r="Q104" s="145"/>
      <c r="R104" s="145"/>
      <c r="S104" s="148"/>
      <c r="T104" s="147"/>
      <c r="U104" s="144"/>
      <c r="V104" s="144"/>
    </row>
    <row r="105" spans="1:22" ht="14" x14ac:dyDescent="0.15">
      <c r="A105" s="144"/>
      <c r="B105" s="144"/>
      <c r="C105" s="145"/>
      <c r="D105" s="145"/>
      <c r="E105" s="148"/>
      <c r="F105" s="147"/>
      <c r="G105" s="144"/>
      <c r="H105" s="144"/>
      <c r="I105" s="144"/>
      <c r="J105" s="145"/>
      <c r="K105" s="145"/>
      <c r="L105" s="148"/>
      <c r="M105" s="155"/>
      <c r="N105" s="144"/>
      <c r="O105" s="144"/>
      <c r="P105" s="144"/>
      <c r="Q105" s="145"/>
      <c r="R105" s="145"/>
      <c r="S105" s="148"/>
      <c r="T105" s="147"/>
      <c r="U105" s="144"/>
      <c r="V105" s="144"/>
    </row>
    <row r="106" spans="1:22" ht="14" x14ac:dyDescent="0.15">
      <c r="A106" s="144"/>
      <c r="B106" s="144"/>
      <c r="C106" s="145"/>
      <c r="D106" s="145"/>
      <c r="E106" s="148"/>
      <c r="F106" s="147"/>
      <c r="G106" s="144"/>
      <c r="H106" s="144"/>
      <c r="I106" s="144"/>
      <c r="J106" s="145"/>
      <c r="K106" s="145"/>
      <c r="L106" s="148"/>
      <c r="M106" s="155"/>
      <c r="N106" s="144"/>
      <c r="O106" s="144"/>
      <c r="P106" s="144"/>
      <c r="Q106" s="145"/>
      <c r="R106" s="145"/>
      <c r="S106" s="148"/>
      <c r="T106" s="147"/>
      <c r="U106" s="144"/>
      <c r="V106" s="144"/>
    </row>
    <row r="107" spans="1:22" ht="14" x14ac:dyDescent="0.15">
      <c r="A107" s="144"/>
      <c r="B107" s="144"/>
      <c r="C107" s="145"/>
      <c r="D107" s="145"/>
      <c r="E107" s="148"/>
      <c r="F107" s="147"/>
      <c r="G107" s="144"/>
      <c r="H107" s="144"/>
      <c r="I107" s="144"/>
      <c r="J107" s="145"/>
      <c r="K107" s="145"/>
      <c r="L107" s="148"/>
      <c r="M107" s="155"/>
      <c r="N107" s="144"/>
      <c r="O107" s="144"/>
      <c r="P107" s="144"/>
      <c r="Q107" s="145"/>
      <c r="R107" s="145"/>
      <c r="S107" s="148"/>
      <c r="T107" s="147"/>
      <c r="U107" s="144"/>
      <c r="V107" s="144"/>
    </row>
    <row r="108" spans="1:22" ht="14" x14ac:dyDescent="0.15">
      <c r="A108" s="144"/>
      <c r="B108" s="144"/>
      <c r="C108" s="145"/>
      <c r="D108" s="145"/>
      <c r="E108" s="148"/>
      <c r="F108" s="147"/>
      <c r="G108" s="144"/>
      <c r="H108" s="144"/>
      <c r="I108" s="144"/>
      <c r="J108" s="145"/>
      <c r="K108" s="145"/>
      <c r="L108" s="148"/>
      <c r="M108" s="155"/>
      <c r="N108" s="144"/>
      <c r="O108" s="144"/>
      <c r="P108" s="144"/>
      <c r="Q108" s="145"/>
      <c r="R108" s="145"/>
      <c r="S108" s="148"/>
      <c r="T108" s="147"/>
      <c r="U108" s="144"/>
      <c r="V108" s="144"/>
    </row>
    <row r="109" spans="1:22" ht="14" x14ac:dyDescent="0.15">
      <c r="A109" s="144"/>
      <c r="B109" s="144"/>
      <c r="C109" s="145"/>
      <c r="D109" s="145"/>
      <c r="E109" s="148"/>
      <c r="F109" s="147"/>
      <c r="G109" s="144"/>
      <c r="H109" s="144"/>
      <c r="I109" s="144"/>
      <c r="J109" s="145"/>
      <c r="K109" s="145"/>
      <c r="L109" s="148"/>
      <c r="M109" s="155"/>
      <c r="N109" s="144"/>
      <c r="O109" s="144"/>
      <c r="P109" s="144"/>
      <c r="Q109" s="145"/>
      <c r="R109" s="145"/>
      <c r="S109" s="148"/>
      <c r="T109" s="147"/>
      <c r="U109" s="144"/>
      <c r="V109" s="144"/>
    </row>
    <row r="110" spans="1:22" ht="14" x14ac:dyDescent="0.15">
      <c r="A110" s="144"/>
      <c r="B110" s="144"/>
      <c r="C110" s="145"/>
      <c r="D110" s="145"/>
      <c r="E110" s="148"/>
      <c r="F110" s="147"/>
      <c r="G110" s="144"/>
      <c r="H110" s="144"/>
      <c r="I110" s="144"/>
      <c r="J110" s="145"/>
      <c r="K110" s="145"/>
      <c r="L110" s="148"/>
      <c r="M110" s="155"/>
      <c r="N110" s="144"/>
      <c r="O110" s="144"/>
      <c r="P110" s="144"/>
      <c r="Q110" s="145"/>
      <c r="R110" s="145"/>
      <c r="S110" s="148"/>
      <c r="T110" s="147"/>
      <c r="U110" s="144"/>
      <c r="V110" s="144"/>
    </row>
    <row r="111" spans="1:22" ht="14" x14ac:dyDescent="0.15">
      <c r="A111" s="144"/>
      <c r="B111" s="144"/>
      <c r="C111" s="145"/>
      <c r="D111" s="145"/>
      <c r="E111" s="148"/>
      <c r="F111" s="147"/>
      <c r="G111" s="144"/>
      <c r="H111" s="144"/>
      <c r="I111" s="144"/>
      <c r="J111" s="145"/>
      <c r="K111" s="145"/>
      <c r="L111" s="148"/>
      <c r="M111" s="155"/>
      <c r="N111" s="144"/>
      <c r="O111" s="144"/>
      <c r="P111" s="144"/>
      <c r="Q111" s="145"/>
      <c r="R111" s="145"/>
      <c r="S111" s="148"/>
      <c r="T111" s="147"/>
      <c r="U111" s="144"/>
      <c r="V111" s="144"/>
    </row>
    <row r="112" spans="1:22" ht="14" x14ac:dyDescent="0.15">
      <c r="A112" s="144"/>
      <c r="B112" s="144"/>
      <c r="C112" s="145"/>
      <c r="D112" s="145"/>
      <c r="E112" s="148"/>
      <c r="F112" s="147"/>
      <c r="G112" s="144"/>
      <c r="H112" s="144"/>
      <c r="I112" s="144"/>
      <c r="J112" s="145"/>
      <c r="K112" s="145"/>
      <c r="L112" s="148"/>
      <c r="M112" s="155"/>
      <c r="N112" s="144"/>
      <c r="O112" s="144"/>
      <c r="P112" s="144"/>
      <c r="Q112" s="145"/>
      <c r="R112" s="145"/>
      <c r="S112" s="148"/>
      <c r="T112" s="147"/>
      <c r="U112" s="144"/>
      <c r="V112" s="144"/>
    </row>
    <row r="113" spans="1:22" ht="14" x14ac:dyDescent="0.15">
      <c r="A113" s="144"/>
      <c r="B113" s="144"/>
      <c r="C113" s="145"/>
      <c r="D113" s="145"/>
      <c r="E113" s="148"/>
      <c r="F113" s="147"/>
      <c r="G113" s="144"/>
      <c r="H113" s="144"/>
      <c r="I113" s="144"/>
      <c r="J113" s="145"/>
      <c r="K113" s="145"/>
      <c r="L113" s="148"/>
      <c r="M113" s="155"/>
      <c r="N113" s="144"/>
      <c r="O113" s="144"/>
      <c r="P113" s="144"/>
      <c r="Q113" s="145"/>
      <c r="R113" s="145"/>
      <c r="S113" s="148"/>
      <c r="T113" s="147"/>
      <c r="U113" s="144"/>
      <c r="V113" s="144"/>
    </row>
    <row r="114" spans="1:22" ht="14" x14ac:dyDescent="0.15">
      <c r="A114" s="144"/>
      <c r="B114" s="144"/>
      <c r="C114" s="145"/>
      <c r="D114" s="145"/>
      <c r="E114" s="148"/>
      <c r="F114" s="147"/>
      <c r="G114" s="144"/>
      <c r="H114" s="144"/>
      <c r="I114" s="144"/>
      <c r="J114" s="145"/>
      <c r="K114" s="145"/>
      <c r="L114" s="148"/>
      <c r="M114" s="155"/>
      <c r="N114" s="144"/>
      <c r="O114" s="144"/>
      <c r="P114" s="144"/>
      <c r="Q114" s="145"/>
      <c r="R114" s="145"/>
      <c r="S114" s="148"/>
      <c r="T114" s="147"/>
      <c r="U114" s="144"/>
      <c r="V114" s="144"/>
    </row>
    <row r="115" spans="1:22" ht="14" x14ac:dyDescent="0.15">
      <c r="A115" s="144"/>
      <c r="B115" s="144"/>
      <c r="C115" s="145"/>
      <c r="D115" s="145"/>
      <c r="E115" s="148"/>
      <c r="F115" s="147"/>
      <c r="G115" s="144"/>
      <c r="H115" s="144"/>
      <c r="I115" s="144"/>
      <c r="J115" s="145"/>
      <c r="K115" s="145"/>
      <c r="L115" s="148"/>
      <c r="M115" s="155"/>
      <c r="N115" s="144"/>
      <c r="O115" s="144"/>
      <c r="P115" s="144"/>
      <c r="Q115" s="145"/>
      <c r="R115" s="145"/>
      <c r="S115" s="148"/>
      <c r="T115" s="147"/>
      <c r="U115" s="144"/>
      <c r="V115" s="144"/>
    </row>
    <row r="116" spans="1:22" ht="14" x14ac:dyDescent="0.15">
      <c r="A116" s="144"/>
      <c r="B116" s="144"/>
      <c r="C116" s="145"/>
      <c r="D116" s="145"/>
      <c r="E116" s="148"/>
      <c r="F116" s="147"/>
      <c r="G116" s="144"/>
      <c r="H116" s="144"/>
      <c r="I116" s="144"/>
      <c r="J116" s="145"/>
      <c r="K116" s="145"/>
      <c r="L116" s="148"/>
      <c r="M116" s="155"/>
      <c r="N116" s="144"/>
      <c r="O116" s="144"/>
      <c r="P116" s="144"/>
      <c r="Q116" s="145"/>
      <c r="R116" s="145"/>
      <c r="S116" s="148"/>
      <c r="T116" s="147"/>
      <c r="U116" s="144"/>
      <c r="V116" s="144"/>
    </row>
    <row r="117" spans="1:22" ht="14" x14ac:dyDescent="0.15">
      <c r="A117" s="144"/>
      <c r="B117" s="144"/>
      <c r="C117" s="145"/>
      <c r="D117" s="145"/>
      <c r="E117" s="148"/>
      <c r="F117" s="147"/>
      <c r="G117" s="144"/>
      <c r="H117" s="144"/>
      <c r="I117" s="144"/>
      <c r="J117" s="145"/>
      <c r="K117" s="145"/>
      <c r="L117" s="148"/>
      <c r="M117" s="155"/>
      <c r="N117" s="144"/>
      <c r="O117" s="144"/>
      <c r="P117" s="144"/>
      <c r="Q117" s="145"/>
      <c r="R117" s="145"/>
      <c r="S117" s="148"/>
      <c r="T117" s="147"/>
      <c r="U117" s="144"/>
      <c r="V117" s="144"/>
    </row>
    <row r="118" spans="1:22" ht="14" x14ac:dyDescent="0.15">
      <c r="A118" s="144"/>
      <c r="B118" s="144"/>
      <c r="C118" s="145"/>
      <c r="D118" s="145"/>
      <c r="E118" s="148"/>
      <c r="F118" s="147"/>
      <c r="G118" s="144"/>
      <c r="H118" s="144"/>
      <c r="I118" s="144"/>
      <c r="J118" s="145"/>
      <c r="K118" s="145"/>
      <c r="L118" s="148"/>
      <c r="M118" s="155"/>
      <c r="N118" s="144"/>
      <c r="O118" s="144"/>
      <c r="P118" s="144"/>
      <c r="Q118" s="145"/>
      <c r="R118" s="145"/>
      <c r="S118" s="148"/>
      <c r="T118" s="147"/>
      <c r="U118" s="144"/>
      <c r="V118" s="144"/>
    </row>
    <row r="119" spans="1:22" ht="14" x14ac:dyDescent="0.15">
      <c r="A119" s="144"/>
      <c r="B119" s="144"/>
      <c r="C119" s="145"/>
      <c r="D119" s="145"/>
      <c r="E119" s="148"/>
      <c r="F119" s="147"/>
      <c r="G119" s="144"/>
      <c r="H119" s="144"/>
      <c r="I119" s="144"/>
      <c r="J119" s="145"/>
      <c r="K119" s="145"/>
      <c r="L119" s="148"/>
      <c r="M119" s="155"/>
      <c r="N119" s="144"/>
      <c r="O119" s="144"/>
      <c r="P119" s="144"/>
      <c r="Q119" s="145"/>
      <c r="R119" s="145"/>
      <c r="S119" s="148"/>
      <c r="T119" s="147"/>
      <c r="U119" s="144"/>
      <c r="V119" s="144"/>
    </row>
    <row r="120" spans="1:22" ht="14" x14ac:dyDescent="0.15">
      <c r="A120" s="144"/>
      <c r="B120" s="144"/>
      <c r="C120" s="145"/>
      <c r="D120" s="145"/>
      <c r="E120" s="148"/>
      <c r="F120" s="147"/>
      <c r="G120" s="144"/>
      <c r="H120" s="144"/>
      <c r="I120" s="144"/>
      <c r="J120" s="145"/>
      <c r="K120" s="145"/>
      <c r="L120" s="148"/>
      <c r="M120" s="155"/>
      <c r="N120" s="144"/>
      <c r="O120" s="144"/>
      <c r="P120" s="144"/>
      <c r="Q120" s="145"/>
      <c r="R120" s="145"/>
      <c r="S120" s="148"/>
      <c r="T120" s="147"/>
      <c r="U120" s="144"/>
      <c r="V120" s="144"/>
    </row>
    <row r="121" spans="1:22" ht="14" x14ac:dyDescent="0.15">
      <c r="A121" s="144"/>
      <c r="B121" s="144"/>
      <c r="C121" s="145"/>
      <c r="D121" s="145"/>
      <c r="E121" s="148"/>
      <c r="F121" s="147"/>
      <c r="G121" s="144"/>
      <c r="H121" s="144"/>
      <c r="I121" s="144"/>
      <c r="J121" s="145"/>
      <c r="K121" s="145"/>
      <c r="L121" s="148"/>
      <c r="M121" s="155"/>
      <c r="N121" s="144"/>
      <c r="O121" s="144"/>
      <c r="P121" s="144"/>
      <c r="Q121" s="145"/>
      <c r="R121" s="145"/>
      <c r="S121" s="148"/>
      <c r="T121" s="147"/>
      <c r="U121" s="144"/>
      <c r="V121" s="144"/>
    </row>
    <row r="122" spans="1:22" ht="14" x14ac:dyDescent="0.15">
      <c r="A122" s="144"/>
      <c r="B122" s="144"/>
      <c r="C122" s="145"/>
      <c r="D122" s="145"/>
      <c r="E122" s="148"/>
      <c r="F122" s="147"/>
      <c r="G122" s="144"/>
      <c r="H122" s="144"/>
      <c r="I122" s="144"/>
      <c r="J122" s="145"/>
      <c r="K122" s="145"/>
      <c r="L122" s="148"/>
      <c r="M122" s="155"/>
      <c r="N122" s="144"/>
      <c r="O122" s="144"/>
      <c r="P122" s="144"/>
      <c r="Q122" s="145"/>
      <c r="R122" s="145"/>
      <c r="S122" s="148"/>
      <c r="T122" s="147"/>
      <c r="U122" s="144"/>
      <c r="V122" s="144"/>
    </row>
    <row r="123" spans="1:22" ht="14" x14ac:dyDescent="0.15">
      <c r="A123" s="144"/>
      <c r="B123" s="144"/>
      <c r="C123" s="145"/>
      <c r="D123" s="145"/>
      <c r="E123" s="148"/>
      <c r="F123" s="147"/>
      <c r="G123" s="144"/>
      <c r="H123" s="144"/>
      <c r="I123" s="144"/>
      <c r="J123" s="145"/>
      <c r="K123" s="145"/>
      <c r="L123" s="148"/>
      <c r="M123" s="155"/>
      <c r="N123" s="144"/>
      <c r="O123" s="144"/>
      <c r="P123" s="144"/>
      <c r="Q123" s="145"/>
      <c r="R123" s="145"/>
      <c r="S123" s="148"/>
      <c r="T123" s="147"/>
      <c r="U123" s="144"/>
      <c r="V123" s="144"/>
    </row>
    <row r="124" spans="1:22" ht="14" x14ac:dyDescent="0.15">
      <c r="A124" s="144"/>
      <c r="B124" s="144"/>
      <c r="C124" s="145"/>
      <c r="D124" s="145"/>
      <c r="E124" s="148"/>
      <c r="F124" s="147"/>
      <c r="G124" s="144"/>
      <c r="H124" s="144"/>
      <c r="I124" s="144"/>
      <c r="J124" s="145"/>
      <c r="K124" s="145"/>
      <c r="L124" s="148"/>
      <c r="M124" s="155"/>
      <c r="N124" s="144"/>
      <c r="O124" s="144"/>
      <c r="P124" s="144"/>
      <c r="Q124" s="145"/>
      <c r="R124" s="145"/>
      <c r="S124" s="148"/>
      <c r="T124" s="147"/>
      <c r="U124" s="144"/>
      <c r="V124" s="144"/>
    </row>
    <row r="125" spans="1:22" ht="14" x14ac:dyDescent="0.15">
      <c r="A125" s="144"/>
      <c r="B125" s="144"/>
      <c r="C125" s="145"/>
      <c r="D125" s="145"/>
      <c r="E125" s="148"/>
      <c r="F125" s="147"/>
      <c r="G125" s="144"/>
      <c r="H125" s="144"/>
      <c r="I125" s="144"/>
      <c r="J125" s="145"/>
      <c r="K125" s="145"/>
      <c r="L125" s="148"/>
      <c r="M125" s="155"/>
      <c r="N125" s="144"/>
      <c r="O125" s="144"/>
      <c r="P125" s="144"/>
      <c r="Q125" s="145"/>
      <c r="R125" s="145"/>
      <c r="S125" s="148"/>
      <c r="T125" s="147"/>
      <c r="U125" s="144"/>
      <c r="V125" s="144"/>
    </row>
    <row r="126" spans="1:22" ht="14" x14ac:dyDescent="0.15">
      <c r="A126" s="144"/>
      <c r="B126" s="144"/>
      <c r="C126" s="145"/>
      <c r="D126" s="145"/>
      <c r="E126" s="148"/>
      <c r="F126" s="147"/>
      <c r="G126" s="144"/>
      <c r="H126" s="144"/>
      <c r="I126" s="144"/>
      <c r="J126" s="145"/>
      <c r="K126" s="145"/>
      <c r="L126" s="148"/>
      <c r="M126" s="155"/>
      <c r="N126" s="144"/>
      <c r="O126" s="144"/>
      <c r="P126" s="144"/>
      <c r="Q126" s="145"/>
      <c r="R126" s="145"/>
      <c r="S126" s="148"/>
      <c r="T126" s="147"/>
      <c r="U126" s="144"/>
      <c r="V126" s="144"/>
    </row>
    <row r="127" spans="1:22" ht="14" x14ac:dyDescent="0.15">
      <c r="A127" s="144"/>
      <c r="B127" s="144"/>
      <c r="C127" s="145"/>
      <c r="D127" s="145"/>
      <c r="E127" s="148"/>
      <c r="F127" s="147"/>
      <c r="G127" s="144"/>
      <c r="H127" s="144"/>
      <c r="I127" s="144"/>
      <c r="J127" s="145"/>
      <c r="K127" s="145"/>
      <c r="L127" s="148"/>
      <c r="M127" s="155"/>
      <c r="N127" s="144"/>
      <c r="O127" s="144"/>
      <c r="P127" s="144"/>
      <c r="Q127" s="145"/>
      <c r="R127" s="145"/>
      <c r="S127" s="148"/>
      <c r="T127" s="147"/>
      <c r="U127" s="144"/>
      <c r="V127" s="144"/>
    </row>
    <row r="128" spans="1:22" ht="14" x14ac:dyDescent="0.15">
      <c r="A128" s="144"/>
      <c r="B128" s="144"/>
      <c r="C128" s="145"/>
      <c r="D128" s="145"/>
      <c r="E128" s="148"/>
      <c r="F128" s="147"/>
      <c r="G128" s="144"/>
      <c r="H128" s="144"/>
      <c r="I128" s="144"/>
      <c r="J128" s="145"/>
      <c r="K128" s="145"/>
      <c r="L128" s="148"/>
      <c r="M128" s="155"/>
      <c r="N128" s="144"/>
      <c r="O128" s="144"/>
      <c r="P128" s="144"/>
      <c r="Q128" s="145"/>
      <c r="R128" s="145"/>
      <c r="S128" s="148"/>
      <c r="T128" s="147"/>
      <c r="U128" s="144"/>
      <c r="V128" s="144"/>
    </row>
    <row r="129" spans="1:22" ht="14" x14ac:dyDescent="0.15">
      <c r="A129" s="144"/>
      <c r="B129" s="144"/>
      <c r="C129" s="145"/>
      <c r="D129" s="145"/>
      <c r="E129" s="148"/>
      <c r="F129" s="147"/>
      <c r="G129" s="144"/>
      <c r="H129" s="144"/>
      <c r="I129" s="144"/>
      <c r="J129" s="145"/>
      <c r="K129" s="145"/>
      <c r="L129" s="148"/>
      <c r="M129" s="155"/>
      <c r="N129" s="144"/>
      <c r="O129" s="144"/>
      <c r="P129" s="144"/>
      <c r="Q129" s="145"/>
      <c r="R129" s="145"/>
      <c r="S129" s="148"/>
      <c r="T129" s="147"/>
      <c r="U129" s="144"/>
      <c r="V129" s="144"/>
    </row>
    <row r="130" spans="1:22" ht="14" x14ac:dyDescent="0.15">
      <c r="A130" s="144"/>
      <c r="B130" s="144"/>
      <c r="C130" s="145"/>
      <c r="D130" s="145"/>
      <c r="E130" s="148"/>
      <c r="F130" s="147"/>
      <c r="G130" s="144"/>
      <c r="H130" s="144"/>
      <c r="I130" s="144"/>
      <c r="J130" s="145"/>
      <c r="K130" s="145"/>
      <c r="L130" s="148"/>
      <c r="M130" s="155"/>
      <c r="N130" s="144"/>
      <c r="O130" s="144"/>
      <c r="P130" s="144"/>
      <c r="Q130" s="145"/>
      <c r="R130" s="145"/>
      <c r="S130" s="148"/>
      <c r="T130" s="147"/>
      <c r="U130" s="144"/>
      <c r="V130" s="144"/>
    </row>
    <row r="131" spans="1:22" ht="14" x14ac:dyDescent="0.15">
      <c r="A131" s="144"/>
      <c r="B131" s="144"/>
      <c r="C131" s="145"/>
      <c r="D131" s="145"/>
      <c r="E131" s="148"/>
      <c r="F131" s="147"/>
      <c r="G131" s="144"/>
      <c r="H131" s="144"/>
      <c r="I131" s="144"/>
      <c r="J131" s="145"/>
      <c r="K131" s="145"/>
      <c r="L131" s="148"/>
      <c r="M131" s="155"/>
      <c r="N131" s="144"/>
      <c r="O131" s="144"/>
      <c r="P131" s="144"/>
      <c r="Q131" s="145"/>
      <c r="R131" s="145"/>
      <c r="S131" s="148"/>
      <c r="T131" s="147"/>
      <c r="U131" s="144"/>
      <c r="V131" s="144"/>
    </row>
    <row r="132" spans="1:22" ht="14" x14ac:dyDescent="0.15">
      <c r="A132" s="144"/>
      <c r="B132" s="144"/>
      <c r="C132" s="145"/>
      <c r="D132" s="145"/>
      <c r="E132" s="148"/>
      <c r="F132" s="147"/>
      <c r="G132" s="144"/>
      <c r="H132" s="144"/>
      <c r="I132" s="144"/>
      <c r="J132" s="145"/>
      <c r="K132" s="145"/>
      <c r="L132" s="148"/>
      <c r="M132" s="155"/>
      <c r="N132" s="144"/>
      <c r="O132" s="144"/>
      <c r="P132" s="144"/>
      <c r="Q132" s="145"/>
      <c r="R132" s="145"/>
      <c r="S132" s="148"/>
      <c r="T132" s="147"/>
      <c r="U132" s="144"/>
      <c r="V132" s="144"/>
    </row>
    <row r="133" spans="1:22" ht="14" x14ac:dyDescent="0.15">
      <c r="A133" s="144"/>
      <c r="B133" s="144"/>
      <c r="C133" s="145"/>
      <c r="D133" s="145"/>
      <c r="E133" s="148"/>
      <c r="F133" s="147"/>
      <c r="G133" s="144"/>
      <c r="H133" s="144"/>
      <c r="I133" s="144"/>
      <c r="J133" s="145"/>
      <c r="K133" s="145"/>
      <c r="L133" s="148"/>
      <c r="M133" s="155"/>
      <c r="N133" s="144"/>
      <c r="O133" s="144"/>
      <c r="P133" s="144"/>
      <c r="Q133" s="145"/>
      <c r="R133" s="145"/>
      <c r="S133" s="148"/>
      <c r="T133" s="147"/>
      <c r="U133" s="144"/>
      <c r="V133" s="144"/>
    </row>
    <row r="134" spans="1:22" ht="14" x14ac:dyDescent="0.15">
      <c r="A134" s="144"/>
      <c r="B134" s="144"/>
      <c r="C134" s="145"/>
      <c r="D134" s="145"/>
      <c r="E134" s="148"/>
      <c r="F134" s="147"/>
      <c r="G134" s="144"/>
      <c r="H134" s="144"/>
      <c r="I134" s="144"/>
      <c r="J134" s="145"/>
      <c r="K134" s="145"/>
      <c r="L134" s="148"/>
      <c r="M134" s="155"/>
      <c r="N134" s="144"/>
      <c r="O134" s="144"/>
      <c r="P134" s="144"/>
      <c r="Q134" s="145"/>
      <c r="R134" s="145"/>
      <c r="S134" s="148"/>
      <c r="T134" s="147"/>
      <c r="U134" s="144"/>
      <c r="V134" s="144"/>
    </row>
    <row r="135" spans="1:22" ht="14" x14ac:dyDescent="0.15">
      <c r="A135" s="144"/>
      <c r="B135" s="144"/>
      <c r="C135" s="145"/>
      <c r="D135" s="145"/>
      <c r="E135" s="148"/>
      <c r="F135" s="147"/>
      <c r="G135" s="144"/>
      <c r="H135" s="144"/>
      <c r="I135" s="144"/>
      <c r="J135" s="145"/>
      <c r="K135" s="145"/>
      <c r="L135" s="148"/>
      <c r="M135" s="155"/>
      <c r="N135" s="144"/>
      <c r="O135" s="144"/>
      <c r="P135" s="144"/>
      <c r="Q135" s="145"/>
      <c r="R135" s="145"/>
      <c r="S135" s="148"/>
      <c r="T135" s="147"/>
      <c r="U135" s="144"/>
      <c r="V135" s="144"/>
    </row>
    <row r="136" spans="1:22" ht="14" x14ac:dyDescent="0.15">
      <c r="A136" s="144"/>
      <c r="B136" s="144"/>
      <c r="C136" s="145"/>
      <c r="D136" s="145"/>
      <c r="E136" s="148"/>
      <c r="F136" s="147"/>
      <c r="G136" s="144"/>
      <c r="H136" s="144"/>
      <c r="I136" s="144"/>
      <c r="J136" s="145"/>
      <c r="K136" s="145"/>
      <c r="L136" s="148"/>
      <c r="M136" s="155"/>
      <c r="N136" s="144"/>
      <c r="O136" s="144"/>
      <c r="P136" s="144"/>
      <c r="Q136" s="145"/>
      <c r="R136" s="145"/>
      <c r="S136" s="148"/>
      <c r="T136" s="147"/>
      <c r="U136" s="144"/>
      <c r="V136" s="144"/>
    </row>
    <row r="137" spans="1:22" ht="14" x14ac:dyDescent="0.15">
      <c r="A137" s="144"/>
      <c r="B137" s="144"/>
      <c r="C137" s="145"/>
      <c r="D137" s="145"/>
      <c r="E137" s="148"/>
      <c r="F137" s="147"/>
      <c r="G137" s="144"/>
      <c r="H137" s="144"/>
      <c r="I137" s="144"/>
      <c r="J137" s="145"/>
      <c r="K137" s="145"/>
      <c r="L137" s="148"/>
      <c r="M137" s="155"/>
      <c r="N137" s="144"/>
      <c r="O137" s="144"/>
      <c r="P137" s="144"/>
      <c r="Q137" s="145"/>
      <c r="R137" s="145"/>
      <c r="S137" s="148"/>
      <c r="T137" s="147"/>
      <c r="U137" s="144"/>
      <c r="V137" s="144"/>
    </row>
    <row r="138" spans="1:22" ht="14" x14ac:dyDescent="0.15">
      <c r="A138" s="144"/>
      <c r="B138" s="144"/>
      <c r="C138" s="145"/>
      <c r="D138" s="145"/>
      <c r="E138" s="148"/>
      <c r="F138" s="147"/>
      <c r="G138" s="144"/>
      <c r="H138" s="144"/>
      <c r="I138" s="144"/>
      <c r="J138" s="145"/>
      <c r="K138" s="145"/>
      <c r="L138" s="148"/>
      <c r="M138" s="155"/>
      <c r="N138" s="144"/>
      <c r="O138" s="144"/>
      <c r="P138" s="144"/>
      <c r="Q138" s="145"/>
      <c r="R138" s="145"/>
      <c r="S138" s="148"/>
      <c r="T138" s="147"/>
      <c r="U138" s="144"/>
      <c r="V138" s="144"/>
    </row>
    <row r="139" spans="1:22" ht="14" x14ac:dyDescent="0.15">
      <c r="A139" s="144"/>
      <c r="B139" s="144"/>
      <c r="C139" s="145"/>
      <c r="D139" s="145"/>
      <c r="E139" s="148"/>
      <c r="F139" s="147"/>
      <c r="G139" s="144"/>
      <c r="H139" s="144"/>
      <c r="I139" s="144"/>
      <c r="J139" s="145"/>
      <c r="K139" s="145"/>
      <c r="L139" s="148"/>
      <c r="M139" s="155"/>
      <c r="N139" s="144"/>
      <c r="O139" s="144"/>
      <c r="P139" s="144"/>
      <c r="Q139" s="145"/>
      <c r="R139" s="145"/>
      <c r="S139" s="148"/>
      <c r="T139" s="147"/>
      <c r="U139" s="144"/>
      <c r="V139" s="144"/>
    </row>
    <row r="140" spans="1:22" ht="14" x14ac:dyDescent="0.15">
      <c r="A140" s="144"/>
      <c r="B140" s="144"/>
      <c r="C140" s="145"/>
      <c r="D140" s="145"/>
      <c r="E140" s="148"/>
      <c r="F140" s="147"/>
      <c r="G140" s="144"/>
      <c r="H140" s="144"/>
      <c r="I140" s="144"/>
      <c r="J140" s="145"/>
      <c r="K140" s="145"/>
      <c r="L140" s="148"/>
      <c r="M140" s="155"/>
      <c r="N140" s="144"/>
      <c r="O140" s="144"/>
      <c r="P140" s="144"/>
      <c r="Q140" s="145"/>
      <c r="R140" s="145"/>
      <c r="S140" s="148"/>
      <c r="T140" s="147"/>
      <c r="U140" s="144"/>
      <c r="V140" s="144"/>
    </row>
    <row r="141" spans="1:22" ht="14" x14ac:dyDescent="0.15">
      <c r="A141" s="144"/>
      <c r="B141" s="144"/>
      <c r="C141" s="145"/>
      <c r="D141" s="145"/>
      <c r="E141" s="148"/>
      <c r="F141" s="147"/>
      <c r="G141" s="144"/>
      <c r="H141" s="144"/>
      <c r="I141" s="144"/>
      <c r="J141" s="145"/>
      <c r="K141" s="145"/>
      <c r="L141" s="148"/>
      <c r="M141" s="155"/>
      <c r="N141" s="144"/>
      <c r="O141" s="144"/>
      <c r="P141" s="144"/>
      <c r="Q141" s="145"/>
      <c r="R141" s="145"/>
      <c r="S141" s="148"/>
      <c r="T141" s="147"/>
      <c r="U141" s="144"/>
      <c r="V141" s="144"/>
    </row>
    <row r="142" spans="1:22" ht="14" x14ac:dyDescent="0.15">
      <c r="A142" s="144"/>
      <c r="B142" s="144"/>
      <c r="C142" s="145"/>
      <c r="D142" s="145"/>
      <c r="E142" s="148"/>
      <c r="F142" s="147"/>
      <c r="G142" s="144"/>
      <c r="H142" s="144"/>
      <c r="I142" s="144"/>
      <c r="J142" s="145"/>
      <c r="K142" s="145"/>
      <c r="L142" s="148"/>
      <c r="M142" s="155"/>
      <c r="N142" s="144"/>
      <c r="O142" s="144"/>
      <c r="P142" s="144"/>
      <c r="Q142" s="145"/>
      <c r="R142" s="145"/>
      <c r="S142" s="148"/>
      <c r="T142" s="147"/>
      <c r="U142" s="144"/>
      <c r="V142" s="144"/>
    </row>
    <row r="143" spans="1:22" ht="14" x14ac:dyDescent="0.15">
      <c r="A143" s="144"/>
      <c r="B143" s="144"/>
      <c r="C143" s="145"/>
      <c r="D143" s="145"/>
      <c r="E143" s="148"/>
      <c r="F143" s="147"/>
      <c r="G143" s="144"/>
      <c r="H143" s="144"/>
      <c r="I143" s="144"/>
      <c r="J143" s="145"/>
      <c r="K143" s="145"/>
      <c r="L143" s="148"/>
      <c r="M143" s="155"/>
      <c r="N143" s="144"/>
      <c r="O143" s="144"/>
      <c r="P143" s="144"/>
      <c r="Q143" s="145"/>
      <c r="R143" s="145"/>
      <c r="S143" s="148"/>
      <c r="T143" s="147"/>
      <c r="U143" s="144"/>
      <c r="V143" s="144"/>
    </row>
    <row r="144" spans="1:22" ht="14" x14ac:dyDescent="0.15">
      <c r="A144" s="144"/>
      <c r="B144" s="144"/>
      <c r="C144" s="145"/>
      <c r="D144" s="145"/>
      <c r="E144" s="148"/>
      <c r="F144" s="147"/>
      <c r="G144" s="144"/>
      <c r="H144" s="144"/>
      <c r="I144" s="144"/>
      <c r="J144" s="145"/>
      <c r="K144" s="145"/>
      <c r="L144" s="148"/>
      <c r="M144" s="155"/>
      <c r="N144" s="144"/>
      <c r="O144" s="144"/>
      <c r="P144" s="144"/>
      <c r="Q144" s="145"/>
      <c r="R144" s="145"/>
      <c r="S144" s="148"/>
      <c r="T144" s="147"/>
      <c r="U144" s="144"/>
      <c r="V144" s="144"/>
    </row>
    <row r="145" spans="1:22" ht="14" x14ac:dyDescent="0.15">
      <c r="A145" s="144"/>
      <c r="B145" s="144"/>
      <c r="C145" s="145"/>
      <c r="D145" s="145"/>
      <c r="E145" s="148"/>
      <c r="F145" s="147"/>
      <c r="G145" s="144"/>
      <c r="H145" s="144"/>
      <c r="I145" s="144"/>
      <c r="J145" s="145"/>
      <c r="K145" s="145"/>
      <c r="L145" s="148"/>
      <c r="M145" s="155"/>
      <c r="N145" s="144"/>
      <c r="O145" s="144"/>
      <c r="P145" s="144"/>
      <c r="Q145" s="145"/>
      <c r="R145" s="145"/>
      <c r="S145" s="148"/>
      <c r="T145" s="147"/>
      <c r="U145" s="144"/>
      <c r="V145" s="144"/>
    </row>
    <row r="146" spans="1:22" ht="14" x14ac:dyDescent="0.15">
      <c r="A146" s="144"/>
      <c r="B146" s="144"/>
      <c r="C146" s="145"/>
      <c r="D146" s="145"/>
      <c r="E146" s="148"/>
      <c r="F146" s="147"/>
      <c r="G146" s="144"/>
      <c r="H146" s="144"/>
      <c r="I146" s="144"/>
      <c r="J146" s="145"/>
      <c r="K146" s="145"/>
      <c r="L146" s="148"/>
      <c r="M146" s="155"/>
      <c r="N146" s="144"/>
      <c r="O146" s="144"/>
      <c r="P146" s="144"/>
      <c r="Q146" s="145"/>
      <c r="R146" s="145"/>
      <c r="S146" s="148"/>
      <c r="T146" s="147"/>
      <c r="U146" s="144"/>
      <c r="V146" s="144"/>
    </row>
    <row r="147" spans="1:22" ht="14" x14ac:dyDescent="0.15">
      <c r="A147" s="144"/>
      <c r="B147" s="144"/>
      <c r="C147" s="145"/>
      <c r="D147" s="145"/>
      <c r="E147" s="148"/>
      <c r="F147" s="147"/>
      <c r="G147" s="144"/>
      <c r="H147" s="144"/>
      <c r="I147" s="144"/>
      <c r="J147" s="145"/>
      <c r="K147" s="145"/>
      <c r="L147" s="148"/>
      <c r="M147" s="155"/>
      <c r="N147" s="144"/>
      <c r="O147" s="144"/>
      <c r="P147" s="144"/>
      <c r="Q147" s="145"/>
      <c r="R147" s="145"/>
      <c r="S147" s="148"/>
      <c r="T147" s="147"/>
      <c r="U147" s="144"/>
      <c r="V147" s="144"/>
    </row>
    <row r="148" spans="1:22" ht="14" x14ac:dyDescent="0.15">
      <c r="A148" s="144"/>
      <c r="B148" s="144"/>
      <c r="C148" s="145"/>
      <c r="D148" s="145"/>
      <c r="E148" s="148"/>
      <c r="F148" s="147"/>
      <c r="G148" s="144"/>
      <c r="H148" s="144"/>
      <c r="I148" s="144"/>
      <c r="J148" s="145"/>
      <c r="K148" s="145"/>
      <c r="L148" s="148"/>
      <c r="M148" s="155"/>
      <c r="N148" s="144"/>
      <c r="O148" s="144"/>
      <c r="P148" s="144"/>
      <c r="Q148" s="145"/>
      <c r="R148" s="145"/>
      <c r="S148" s="148"/>
      <c r="T148" s="147"/>
      <c r="U148" s="144"/>
      <c r="V148" s="144"/>
    </row>
    <row r="149" spans="1:22" ht="14" x14ac:dyDescent="0.15">
      <c r="A149" s="144"/>
      <c r="B149" s="144"/>
      <c r="C149" s="145"/>
      <c r="D149" s="145"/>
      <c r="E149" s="148"/>
      <c r="F149" s="147"/>
      <c r="G149" s="144"/>
      <c r="H149" s="144"/>
      <c r="I149" s="144"/>
      <c r="J149" s="145"/>
      <c r="K149" s="145"/>
      <c r="L149" s="148"/>
      <c r="M149" s="155"/>
      <c r="N149" s="144"/>
      <c r="O149" s="144"/>
      <c r="P149" s="144"/>
      <c r="Q149" s="145"/>
      <c r="R149" s="145"/>
      <c r="S149" s="148"/>
      <c r="T149" s="147"/>
      <c r="U149" s="144"/>
      <c r="V149" s="144"/>
    </row>
    <row r="150" spans="1:22" ht="14" x14ac:dyDescent="0.15">
      <c r="A150" s="144"/>
      <c r="B150" s="144"/>
      <c r="C150" s="145"/>
      <c r="D150" s="145"/>
      <c r="E150" s="148"/>
      <c r="F150" s="147"/>
      <c r="G150" s="144"/>
      <c r="H150" s="144"/>
      <c r="I150" s="144"/>
      <c r="J150" s="145"/>
      <c r="K150" s="145"/>
      <c r="L150" s="148"/>
      <c r="M150" s="155"/>
      <c r="N150" s="144"/>
      <c r="O150" s="144"/>
      <c r="P150" s="144"/>
      <c r="Q150" s="145"/>
      <c r="R150" s="145"/>
      <c r="S150" s="148"/>
      <c r="T150" s="147"/>
      <c r="U150" s="144"/>
      <c r="V150" s="144"/>
    </row>
    <row r="151" spans="1:22" ht="14" x14ac:dyDescent="0.15">
      <c r="A151" s="144"/>
      <c r="B151" s="144"/>
      <c r="C151" s="145"/>
      <c r="D151" s="145"/>
      <c r="E151" s="148"/>
      <c r="F151" s="147"/>
      <c r="G151" s="144"/>
      <c r="H151" s="144"/>
      <c r="I151" s="144"/>
      <c r="J151" s="145"/>
      <c r="K151" s="145"/>
      <c r="L151" s="148"/>
      <c r="M151" s="155"/>
      <c r="N151" s="144"/>
      <c r="O151" s="144"/>
      <c r="P151" s="144"/>
      <c r="Q151" s="145"/>
      <c r="R151" s="145"/>
      <c r="S151" s="148"/>
      <c r="T151" s="147"/>
      <c r="U151" s="144"/>
      <c r="V151" s="144"/>
    </row>
    <row r="152" spans="1:22" ht="14" x14ac:dyDescent="0.15">
      <c r="A152" s="144"/>
      <c r="B152" s="144"/>
      <c r="C152" s="145"/>
      <c r="D152" s="145"/>
      <c r="E152" s="148"/>
      <c r="F152" s="147"/>
      <c r="G152" s="144"/>
      <c r="H152" s="144"/>
      <c r="I152" s="144"/>
      <c r="J152" s="145"/>
      <c r="K152" s="145"/>
      <c r="L152" s="148"/>
      <c r="M152" s="155"/>
      <c r="N152" s="144"/>
      <c r="O152" s="144"/>
      <c r="P152" s="144"/>
      <c r="Q152" s="145"/>
      <c r="R152" s="145"/>
      <c r="S152" s="148"/>
      <c r="T152" s="147"/>
      <c r="U152" s="144"/>
      <c r="V152" s="144"/>
    </row>
    <row r="153" spans="1:22" ht="14" x14ac:dyDescent="0.15">
      <c r="A153" s="144"/>
      <c r="B153" s="144"/>
      <c r="C153" s="145"/>
      <c r="D153" s="145"/>
      <c r="E153" s="148"/>
      <c r="F153" s="147"/>
      <c r="G153" s="144"/>
      <c r="H153" s="144"/>
      <c r="I153" s="144"/>
      <c r="J153" s="145"/>
      <c r="K153" s="145"/>
      <c r="L153" s="148"/>
      <c r="M153" s="155"/>
      <c r="N153" s="144"/>
      <c r="O153" s="144"/>
      <c r="P153" s="144"/>
      <c r="Q153" s="145"/>
      <c r="R153" s="145"/>
      <c r="S153" s="148"/>
      <c r="T153" s="147"/>
      <c r="U153" s="144"/>
      <c r="V153" s="144"/>
    </row>
    <row r="154" spans="1:22" ht="14" x14ac:dyDescent="0.15">
      <c r="A154" s="144"/>
      <c r="B154" s="144"/>
      <c r="C154" s="145"/>
      <c r="D154" s="145"/>
      <c r="E154" s="148"/>
      <c r="F154" s="147"/>
      <c r="G154" s="144"/>
      <c r="H154" s="144"/>
      <c r="I154" s="144"/>
      <c r="J154" s="145"/>
      <c r="K154" s="145"/>
      <c r="L154" s="148"/>
      <c r="M154" s="155"/>
      <c r="N154" s="144"/>
      <c r="O154" s="144"/>
      <c r="P154" s="144"/>
      <c r="Q154" s="145"/>
      <c r="R154" s="145"/>
      <c r="S154" s="148"/>
      <c r="T154" s="147"/>
      <c r="U154" s="144"/>
      <c r="V154" s="144"/>
    </row>
    <row r="155" spans="1:22" ht="14" x14ac:dyDescent="0.15">
      <c r="A155" s="144"/>
      <c r="B155" s="144"/>
      <c r="C155" s="145"/>
      <c r="D155" s="145"/>
      <c r="E155" s="148"/>
      <c r="F155" s="147"/>
      <c r="G155" s="144"/>
      <c r="H155" s="144"/>
      <c r="I155" s="144"/>
      <c r="J155" s="145"/>
      <c r="K155" s="145"/>
      <c r="L155" s="148"/>
      <c r="M155" s="155"/>
      <c r="N155" s="144"/>
      <c r="O155" s="144"/>
      <c r="P155" s="144"/>
      <c r="Q155" s="145"/>
      <c r="R155" s="145"/>
      <c r="S155" s="148"/>
      <c r="T155" s="147"/>
      <c r="U155" s="144"/>
      <c r="V155" s="144"/>
    </row>
    <row r="156" spans="1:22" ht="14" x14ac:dyDescent="0.15">
      <c r="A156" s="144"/>
      <c r="B156" s="144"/>
      <c r="C156" s="145"/>
      <c r="D156" s="145"/>
      <c r="E156" s="148"/>
      <c r="F156" s="147"/>
      <c r="G156" s="144"/>
      <c r="H156" s="144"/>
      <c r="I156" s="144"/>
      <c r="J156" s="145"/>
      <c r="K156" s="145"/>
      <c r="L156" s="148"/>
      <c r="M156" s="155"/>
      <c r="N156" s="144"/>
      <c r="O156" s="144"/>
      <c r="P156" s="144"/>
      <c r="Q156" s="145"/>
      <c r="R156" s="145"/>
      <c r="S156" s="148"/>
      <c r="T156" s="147"/>
      <c r="U156" s="144"/>
      <c r="V156" s="144"/>
    </row>
    <row r="157" spans="1:22" ht="14" x14ac:dyDescent="0.15">
      <c r="A157" s="144"/>
      <c r="B157" s="144"/>
      <c r="C157" s="145"/>
      <c r="D157" s="145"/>
      <c r="E157" s="148"/>
      <c r="F157" s="147"/>
      <c r="G157" s="144"/>
      <c r="H157" s="144"/>
      <c r="I157" s="144"/>
      <c r="J157" s="145"/>
      <c r="K157" s="145"/>
      <c r="L157" s="148"/>
      <c r="M157" s="155"/>
      <c r="N157" s="144"/>
      <c r="O157" s="144"/>
      <c r="P157" s="144"/>
      <c r="Q157" s="145"/>
      <c r="R157" s="145"/>
      <c r="S157" s="148"/>
      <c r="T157" s="147"/>
      <c r="U157" s="144"/>
      <c r="V157" s="144"/>
    </row>
    <row r="158" spans="1:22" ht="14" x14ac:dyDescent="0.15">
      <c r="A158" s="144"/>
      <c r="B158" s="144"/>
      <c r="C158" s="145"/>
      <c r="D158" s="145"/>
      <c r="E158" s="148"/>
      <c r="F158" s="147"/>
      <c r="G158" s="144"/>
      <c r="H158" s="144"/>
      <c r="I158" s="144"/>
      <c r="J158" s="145"/>
      <c r="K158" s="145"/>
      <c r="L158" s="148"/>
      <c r="M158" s="155"/>
      <c r="N158" s="144"/>
      <c r="O158" s="144"/>
      <c r="P158" s="144"/>
      <c r="Q158" s="145"/>
      <c r="R158" s="145"/>
      <c r="S158" s="148"/>
      <c r="T158" s="147"/>
      <c r="U158" s="144"/>
      <c r="V158" s="144"/>
    </row>
    <row r="159" spans="1:22" ht="14" x14ac:dyDescent="0.15">
      <c r="A159" s="144"/>
      <c r="B159" s="144"/>
      <c r="C159" s="145"/>
      <c r="D159" s="145"/>
      <c r="E159" s="148"/>
      <c r="F159" s="147"/>
      <c r="G159" s="144"/>
      <c r="H159" s="144"/>
      <c r="I159" s="144"/>
      <c r="J159" s="145"/>
      <c r="K159" s="145"/>
      <c r="L159" s="148"/>
      <c r="M159" s="155"/>
      <c r="N159" s="144"/>
      <c r="O159" s="144"/>
      <c r="P159" s="144"/>
      <c r="Q159" s="145"/>
      <c r="R159" s="145"/>
      <c r="S159" s="148"/>
      <c r="T159" s="147"/>
      <c r="U159" s="144"/>
      <c r="V159" s="144"/>
    </row>
    <row r="160" spans="1:22" ht="14" x14ac:dyDescent="0.15">
      <c r="A160" s="144"/>
      <c r="B160" s="144"/>
      <c r="C160" s="145"/>
      <c r="D160" s="145"/>
      <c r="E160" s="148"/>
      <c r="F160" s="147"/>
      <c r="G160" s="144"/>
      <c r="H160" s="144"/>
      <c r="I160" s="144"/>
      <c r="J160" s="145"/>
      <c r="K160" s="145"/>
      <c r="L160" s="148"/>
      <c r="M160" s="155"/>
      <c r="N160" s="144"/>
      <c r="O160" s="144"/>
      <c r="P160" s="144"/>
      <c r="Q160" s="145"/>
      <c r="R160" s="145"/>
      <c r="S160" s="148"/>
      <c r="T160" s="147"/>
      <c r="U160" s="144"/>
      <c r="V160" s="144"/>
    </row>
    <row r="161" spans="1:22" ht="14" x14ac:dyDescent="0.15">
      <c r="A161" s="144"/>
      <c r="B161" s="144"/>
      <c r="C161" s="145"/>
      <c r="D161" s="145"/>
      <c r="E161" s="148"/>
      <c r="F161" s="147"/>
      <c r="G161" s="144"/>
      <c r="H161" s="144"/>
      <c r="I161" s="144"/>
      <c r="J161" s="145"/>
      <c r="K161" s="145"/>
      <c r="L161" s="148"/>
      <c r="M161" s="155"/>
      <c r="N161" s="144"/>
      <c r="O161" s="144"/>
      <c r="P161" s="144"/>
      <c r="Q161" s="145"/>
      <c r="R161" s="145"/>
      <c r="S161" s="148"/>
      <c r="T161" s="147"/>
      <c r="U161" s="144"/>
      <c r="V161" s="144"/>
    </row>
    <row r="162" spans="1:22" ht="14" x14ac:dyDescent="0.15">
      <c r="A162" s="144"/>
      <c r="B162" s="144"/>
      <c r="C162" s="145"/>
      <c r="D162" s="145"/>
      <c r="E162" s="148"/>
      <c r="F162" s="147"/>
      <c r="G162" s="144"/>
      <c r="H162" s="144"/>
      <c r="I162" s="144"/>
      <c r="J162" s="145"/>
      <c r="K162" s="145"/>
      <c r="L162" s="148"/>
      <c r="M162" s="155"/>
      <c r="N162" s="144"/>
      <c r="O162" s="144"/>
      <c r="P162" s="144"/>
      <c r="Q162" s="145"/>
      <c r="R162" s="145"/>
      <c r="S162" s="148"/>
      <c r="T162" s="147"/>
      <c r="U162" s="144"/>
      <c r="V162" s="144"/>
    </row>
    <row r="163" spans="1:22" ht="14" x14ac:dyDescent="0.15">
      <c r="A163" s="144"/>
      <c r="B163" s="144"/>
      <c r="C163" s="145"/>
      <c r="D163" s="145"/>
      <c r="E163" s="148"/>
      <c r="F163" s="147"/>
      <c r="G163" s="144"/>
      <c r="H163" s="144"/>
      <c r="I163" s="144"/>
      <c r="J163" s="145"/>
      <c r="K163" s="145"/>
      <c r="L163" s="148"/>
      <c r="M163" s="155"/>
      <c r="N163" s="144"/>
      <c r="O163" s="144"/>
      <c r="P163" s="144"/>
      <c r="Q163" s="145"/>
      <c r="R163" s="145"/>
      <c r="S163" s="148"/>
      <c r="T163" s="147"/>
      <c r="U163" s="144"/>
      <c r="V163" s="144"/>
    </row>
    <row r="164" spans="1:22" ht="14" x14ac:dyDescent="0.15">
      <c r="A164" s="144"/>
      <c r="B164" s="144"/>
      <c r="C164" s="145"/>
      <c r="D164" s="145"/>
      <c r="E164" s="148"/>
      <c r="F164" s="147"/>
      <c r="G164" s="144"/>
      <c r="H164" s="144"/>
      <c r="I164" s="144"/>
      <c r="J164" s="145"/>
      <c r="K164" s="145"/>
      <c r="L164" s="148"/>
      <c r="M164" s="155"/>
      <c r="N164" s="144"/>
      <c r="O164" s="144"/>
      <c r="P164" s="144"/>
      <c r="Q164" s="145"/>
      <c r="R164" s="145"/>
      <c r="S164" s="148"/>
      <c r="T164" s="147"/>
      <c r="U164" s="144"/>
      <c r="V164" s="144"/>
    </row>
    <row r="165" spans="1:22" ht="14" x14ac:dyDescent="0.15">
      <c r="A165" s="144"/>
      <c r="B165" s="144"/>
      <c r="C165" s="145"/>
      <c r="D165" s="145"/>
      <c r="E165" s="148"/>
      <c r="F165" s="147"/>
      <c r="G165" s="144"/>
      <c r="H165" s="144"/>
      <c r="I165" s="144"/>
      <c r="J165" s="145"/>
      <c r="K165" s="145"/>
      <c r="L165" s="148"/>
      <c r="M165" s="155"/>
      <c r="N165" s="144"/>
      <c r="O165" s="144"/>
      <c r="P165" s="144"/>
      <c r="Q165" s="145"/>
      <c r="R165" s="145"/>
      <c r="S165" s="148"/>
      <c r="T165" s="147"/>
      <c r="U165" s="144"/>
      <c r="V165" s="144"/>
    </row>
    <row r="166" spans="1:22" ht="14" x14ac:dyDescent="0.15">
      <c r="A166" s="144"/>
      <c r="B166" s="144"/>
      <c r="C166" s="145"/>
      <c r="D166" s="145"/>
      <c r="E166" s="148"/>
      <c r="F166" s="147"/>
      <c r="G166" s="144"/>
      <c r="H166" s="144"/>
      <c r="I166" s="144"/>
      <c r="J166" s="145"/>
      <c r="K166" s="145"/>
      <c r="L166" s="148"/>
      <c r="M166" s="155"/>
      <c r="N166" s="144"/>
      <c r="O166" s="144"/>
      <c r="P166" s="144"/>
      <c r="Q166" s="145"/>
      <c r="R166" s="145"/>
      <c r="S166" s="148"/>
      <c r="T166" s="147"/>
      <c r="U166" s="144"/>
      <c r="V166" s="144"/>
    </row>
    <row r="167" spans="1:22" ht="14" x14ac:dyDescent="0.15">
      <c r="A167" s="144"/>
      <c r="B167" s="144"/>
      <c r="C167" s="145"/>
      <c r="D167" s="145"/>
      <c r="E167" s="148"/>
      <c r="F167" s="147"/>
      <c r="G167" s="144"/>
      <c r="H167" s="144"/>
      <c r="I167" s="144"/>
      <c r="J167" s="145"/>
      <c r="K167" s="145"/>
      <c r="L167" s="148"/>
      <c r="M167" s="155"/>
      <c r="N167" s="144"/>
      <c r="O167" s="144"/>
      <c r="P167" s="144"/>
      <c r="Q167" s="145"/>
      <c r="R167" s="145"/>
      <c r="S167" s="148"/>
      <c r="T167" s="147"/>
      <c r="U167" s="144"/>
      <c r="V167" s="144"/>
    </row>
    <row r="168" spans="1:22" ht="14" x14ac:dyDescent="0.15">
      <c r="A168" s="144"/>
      <c r="B168" s="144"/>
      <c r="C168" s="145"/>
      <c r="D168" s="145"/>
      <c r="E168" s="148"/>
      <c r="F168" s="147"/>
      <c r="G168" s="144"/>
      <c r="H168" s="144"/>
      <c r="I168" s="144"/>
      <c r="J168" s="145"/>
      <c r="K168" s="145"/>
      <c r="L168" s="148"/>
      <c r="M168" s="155"/>
      <c r="N168" s="144"/>
      <c r="O168" s="144"/>
      <c r="P168" s="144"/>
      <c r="Q168" s="145"/>
      <c r="R168" s="145"/>
      <c r="S168" s="148"/>
      <c r="T168" s="147"/>
      <c r="U168" s="144"/>
      <c r="V168" s="144"/>
    </row>
    <row r="169" spans="1:22" ht="14" x14ac:dyDescent="0.15">
      <c r="A169" s="144"/>
      <c r="B169" s="144"/>
      <c r="C169" s="145"/>
      <c r="D169" s="145"/>
      <c r="E169" s="148"/>
      <c r="F169" s="147"/>
      <c r="G169" s="144"/>
      <c r="H169" s="144"/>
      <c r="I169" s="144"/>
      <c r="J169" s="145"/>
      <c r="K169" s="145"/>
      <c r="L169" s="148"/>
      <c r="M169" s="155"/>
      <c r="N169" s="144"/>
      <c r="O169" s="144"/>
      <c r="P169" s="144"/>
      <c r="Q169" s="145"/>
      <c r="R169" s="145"/>
      <c r="S169" s="148"/>
      <c r="T169" s="147"/>
      <c r="U169" s="144"/>
      <c r="V169" s="144"/>
    </row>
    <row r="170" spans="1:22" ht="14" x14ac:dyDescent="0.15">
      <c r="A170" s="144"/>
      <c r="B170" s="144"/>
      <c r="C170" s="145"/>
      <c r="D170" s="145"/>
      <c r="E170" s="148"/>
      <c r="F170" s="147"/>
      <c r="G170" s="144"/>
      <c r="H170" s="144"/>
      <c r="I170" s="144"/>
      <c r="J170" s="145"/>
      <c r="K170" s="145"/>
      <c r="L170" s="148"/>
      <c r="M170" s="155"/>
      <c r="N170" s="144"/>
      <c r="O170" s="144"/>
      <c r="P170" s="144"/>
      <c r="Q170" s="145"/>
      <c r="R170" s="145"/>
      <c r="S170" s="148"/>
      <c r="T170" s="147"/>
      <c r="U170" s="144"/>
      <c r="V170" s="144"/>
    </row>
    <row r="171" spans="1:22" ht="14" x14ac:dyDescent="0.15">
      <c r="A171" s="144"/>
      <c r="B171" s="144"/>
      <c r="C171" s="145"/>
      <c r="D171" s="145"/>
      <c r="E171" s="148"/>
      <c r="F171" s="147"/>
      <c r="G171" s="144"/>
      <c r="H171" s="144"/>
      <c r="I171" s="144"/>
      <c r="J171" s="145"/>
      <c r="K171" s="145"/>
      <c r="L171" s="148"/>
      <c r="M171" s="155"/>
      <c r="N171" s="144"/>
      <c r="O171" s="144"/>
      <c r="P171" s="144"/>
      <c r="Q171" s="145"/>
      <c r="R171" s="145"/>
      <c r="S171" s="148"/>
      <c r="T171" s="147"/>
      <c r="U171" s="144"/>
      <c r="V171" s="144"/>
    </row>
    <row r="172" spans="1:22" ht="14" x14ac:dyDescent="0.15">
      <c r="A172" s="144"/>
      <c r="B172" s="144"/>
      <c r="C172" s="145"/>
      <c r="D172" s="145"/>
      <c r="E172" s="148"/>
      <c r="F172" s="147"/>
      <c r="G172" s="144"/>
      <c r="H172" s="144"/>
      <c r="I172" s="144"/>
      <c r="J172" s="145"/>
      <c r="K172" s="145"/>
      <c r="L172" s="148"/>
      <c r="M172" s="155"/>
      <c r="N172" s="144"/>
      <c r="O172" s="144"/>
      <c r="P172" s="144"/>
      <c r="Q172" s="145"/>
      <c r="R172" s="145"/>
      <c r="S172" s="148"/>
      <c r="T172" s="147"/>
      <c r="U172" s="144"/>
      <c r="V172" s="144"/>
    </row>
    <row r="173" spans="1:22" ht="14" x14ac:dyDescent="0.15">
      <c r="A173" s="144"/>
      <c r="B173" s="144"/>
      <c r="C173" s="145"/>
      <c r="D173" s="145"/>
      <c r="E173" s="148"/>
      <c r="F173" s="147"/>
      <c r="G173" s="144"/>
      <c r="H173" s="144"/>
      <c r="I173" s="144"/>
      <c r="J173" s="145"/>
      <c r="K173" s="145"/>
      <c r="L173" s="148"/>
      <c r="M173" s="155"/>
      <c r="N173" s="144"/>
      <c r="O173" s="144"/>
      <c r="P173" s="144"/>
      <c r="Q173" s="145"/>
      <c r="R173" s="145"/>
      <c r="S173" s="148"/>
      <c r="T173" s="147"/>
      <c r="U173" s="144"/>
      <c r="V173" s="144"/>
    </row>
    <row r="174" spans="1:22" ht="14" x14ac:dyDescent="0.15">
      <c r="A174" s="144"/>
      <c r="B174" s="144"/>
      <c r="C174" s="145"/>
      <c r="D174" s="145"/>
      <c r="E174" s="148"/>
      <c r="F174" s="147"/>
      <c r="G174" s="144"/>
      <c r="H174" s="144"/>
      <c r="I174" s="144"/>
      <c r="J174" s="145"/>
      <c r="K174" s="145"/>
      <c r="L174" s="148"/>
      <c r="M174" s="155"/>
      <c r="N174" s="144"/>
      <c r="O174" s="144"/>
      <c r="P174" s="144"/>
      <c r="Q174" s="145"/>
      <c r="R174" s="145"/>
      <c r="S174" s="148"/>
      <c r="T174" s="147"/>
      <c r="U174" s="144"/>
      <c r="V174" s="144"/>
    </row>
    <row r="175" spans="1:22" ht="14" x14ac:dyDescent="0.15">
      <c r="A175" s="144"/>
      <c r="B175" s="144"/>
      <c r="C175" s="145"/>
      <c r="D175" s="145"/>
      <c r="E175" s="148"/>
      <c r="F175" s="147"/>
      <c r="G175" s="144"/>
      <c r="H175" s="144"/>
      <c r="I175" s="144"/>
      <c r="J175" s="145"/>
      <c r="K175" s="145"/>
      <c r="L175" s="148"/>
      <c r="M175" s="155"/>
      <c r="N175" s="144"/>
      <c r="O175" s="144"/>
      <c r="P175" s="144"/>
      <c r="Q175" s="145"/>
      <c r="R175" s="145"/>
      <c r="S175" s="148"/>
      <c r="T175" s="147"/>
      <c r="U175" s="144"/>
      <c r="V175" s="144"/>
    </row>
    <row r="176" spans="1:22" ht="14" x14ac:dyDescent="0.15">
      <c r="A176" s="144"/>
      <c r="B176" s="144"/>
      <c r="C176" s="145"/>
      <c r="D176" s="145"/>
      <c r="E176" s="148"/>
      <c r="F176" s="147"/>
      <c r="G176" s="144"/>
      <c r="H176" s="144"/>
      <c r="I176" s="144"/>
      <c r="J176" s="145"/>
      <c r="K176" s="145"/>
      <c r="L176" s="148"/>
      <c r="M176" s="155"/>
      <c r="N176" s="144"/>
      <c r="O176" s="144"/>
      <c r="P176" s="144"/>
      <c r="Q176" s="145"/>
      <c r="R176" s="145"/>
      <c r="S176" s="148"/>
      <c r="T176" s="147"/>
      <c r="U176" s="144"/>
      <c r="V176" s="144"/>
    </row>
    <row r="177" spans="1:22" ht="14" x14ac:dyDescent="0.15">
      <c r="A177" s="144"/>
      <c r="B177" s="144"/>
      <c r="C177" s="145"/>
      <c r="D177" s="145"/>
      <c r="E177" s="148"/>
      <c r="F177" s="147"/>
      <c r="G177" s="144"/>
      <c r="H177" s="144"/>
      <c r="I177" s="144"/>
      <c r="J177" s="145"/>
      <c r="K177" s="145"/>
      <c r="L177" s="148"/>
      <c r="M177" s="155"/>
      <c r="N177" s="144"/>
      <c r="O177" s="144"/>
      <c r="P177" s="144"/>
      <c r="Q177" s="145"/>
      <c r="R177" s="145"/>
      <c r="S177" s="148"/>
      <c r="T177" s="147"/>
      <c r="U177" s="144"/>
      <c r="V177" s="144"/>
    </row>
    <row r="178" spans="1:22" ht="14" x14ac:dyDescent="0.15">
      <c r="A178" s="144"/>
      <c r="B178" s="144"/>
      <c r="C178" s="145"/>
      <c r="D178" s="145"/>
      <c r="E178" s="148"/>
      <c r="F178" s="147"/>
      <c r="G178" s="144"/>
      <c r="H178" s="144"/>
      <c r="I178" s="144"/>
      <c r="J178" s="145"/>
      <c r="K178" s="145"/>
      <c r="L178" s="148"/>
      <c r="M178" s="155"/>
      <c r="N178" s="144"/>
      <c r="O178" s="144"/>
      <c r="P178" s="144"/>
      <c r="Q178" s="145"/>
      <c r="R178" s="145"/>
      <c r="S178" s="148"/>
      <c r="T178" s="147"/>
      <c r="U178" s="144"/>
      <c r="V178" s="144"/>
    </row>
    <row r="179" spans="1:22" ht="14" x14ac:dyDescent="0.15">
      <c r="A179" s="144"/>
      <c r="B179" s="144"/>
      <c r="C179" s="145"/>
      <c r="D179" s="145"/>
      <c r="E179" s="148"/>
      <c r="F179" s="147"/>
      <c r="G179" s="144"/>
      <c r="H179" s="144"/>
      <c r="I179" s="144"/>
      <c r="J179" s="145"/>
      <c r="K179" s="145"/>
      <c r="L179" s="148"/>
      <c r="M179" s="155"/>
      <c r="N179" s="144"/>
      <c r="O179" s="144"/>
      <c r="P179" s="144"/>
      <c r="Q179" s="145"/>
      <c r="R179" s="145"/>
      <c r="S179" s="148"/>
      <c r="T179" s="147"/>
      <c r="U179" s="144"/>
      <c r="V179" s="144"/>
    </row>
    <row r="180" spans="1:22" ht="14" x14ac:dyDescent="0.15">
      <c r="A180" s="144"/>
      <c r="B180" s="144"/>
      <c r="C180" s="145"/>
      <c r="D180" s="145"/>
      <c r="E180" s="148"/>
      <c r="F180" s="147"/>
      <c r="G180" s="144"/>
      <c r="H180" s="144"/>
      <c r="I180" s="144"/>
      <c r="J180" s="145"/>
      <c r="K180" s="145"/>
      <c r="L180" s="148"/>
      <c r="M180" s="155"/>
      <c r="N180" s="144"/>
      <c r="O180" s="144"/>
      <c r="P180" s="144"/>
      <c r="Q180" s="145"/>
      <c r="R180" s="145"/>
      <c r="S180" s="148"/>
      <c r="T180" s="147"/>
      <c r="U180" s="144"/>
      <c r="V180" s="144"/>
    </row>
    <row r="181" spans="1:22" ht="14" x14ac:dyDescent="0.15">
      <c r="A181" s="144"/>
      <c r="B181" s="144"/>
      <c r="C181" s="145"/>
      <c r="D181" s="145"/>
      <c r="E181" s="148"/>
      <c r="F181" s="147"/>
      <c r="G181" s="144"/>
      <c r="H181" s="144"/>
      <c r="I181" s="144"/>
      <c r="J181" s="145"/>
      <c r="K181" s="145"/>
      <c r="L181" s="148"/>
      <c r="M181" s="155"/>
      <c r="N181" s="144"/>
      <c r="O181" s="144"/>
      <c r="P181" s="144"/>
      <c r="Q181" s="145"/>
      <c r="R181" s="145"/>
      <c r="S181" s="148"/>
      <c r="T181" s="147"/>
      <c r="U181" s="144"/>
      <c r="V181" s="144"/>
    </row>
    <row r="182" spans="1:22" ht="14" x14ac:dyDescent="0.15">
      <c r="A182" s="144"/>
      <c r="B182" s="144"/>
      <c r="C182" s="145"/>
      <c r="D182" s="145"/>
      <c r="E182" s="148"/>
      <c r="F182" s="147"/>
      <c r="G182" s="144"/>
      <c r="H182" s="144"/>
      <c r="I182" s="144"/>
      <c r="J182" s="145"/>
      <c r="K182" s="145"/>
      <c r="L182" s="148"/>
      <c r="M182" s="155"/>
      <c r="N182" s="144"/>
      <c r="O182" s="144"/>
      <c r="P182" s="144"/>
      <c r="Q182" s="145"/>
      <c r="R182" s="145"/>
      <c r="S182" s="148"/>
      <c r="T182" s="147"/>
      <c r="U182" s="144"/>
      <c r="V182" s="144"/>
    </row>
    <row r="183" spans="1:22" ht="14" x14ac:dyDescent="0.15">
      <c r="A183" s="144"/>
      <c r="B183" s="144"/>
      <c r="C183" s="145"/>
      <c r="D183" s="145"/>
      <c r="E183" s="148"/>
      <c r="F183" s="147"/>
      <c r="G183" s="144"/>
      <c r="H183" s="144"/>
      <c r="I183" s="144"/>
      <c r="J183" s="145"/>
      <c r="K183" s="145"/>
      <c r="L183" s="148"/>
      <c r="M183" s="155"/>
      <c r="N183" s="144"/>
      <c r="O183" s="144"/>
      <c r="P183" s="144"/>
      <c r="Q183" s="145"/>
      <c r="R183" s="145"/>
      <c r="S183" s="148"/>
      <c r="T183" s="147"/>
      <c r="U183" s="144"/>
      <c r="V183" s="144"/>
    </row>
    <row r="184" spans="1:22" ht="14" x14ac:dyDescent="0.15">
      <c r="A184" s="144"/>
      <c r="B184" s="144"/>
      <c r="C184" s="145"/>
      <c r="D184" s="145"/>
      <c r="E184" s="148"/>
      <c r="F184" s="147"/>
      <c r="G184" s="144"/>
      <c r="H184" s="144"/>
      <c r="I184" s="144"/>
      <c r="J184" s="145"/>
      <c r="K184" s="145"/>
      <c r="L184" s="148"/>
      <c r="M184" s="155"/>
      <c r="N184" s="144"/>
      <c r="O184" s="144"/>
      <c r="P184" s="144"/>
      <c r="Q184" s="145"/>
      <c r="R184" s="145"/>
      <c r="S184" s="148"/>
      <c r="T184" s="147"/>
      <c r="U184" s="144"/>
      <c r="V184" s="144"/>
    </row>
    <row r="185" spans="1:22" ht="14" x14ac:dyDescent="0.15">
      <c r="A185" s="144"/>
      <c r="B185" s="144"/>
      <c r="C185" s="145"/>
      <c r="D185" s="145"/>
      <c r="E185" s="148"/>
      <c r="F185" s="147"/>
      <c r="G185" s="144"/>
      <c r="H185" s="144"/>
      <c r="I185" s="144"/>
      <c r="J185" s="145"/>
      <c r="K185" s="145"/>
      <c r="L185" s="148"/>
      <c r="M185" s="155"/>
      <c r="N185" s="144"/>
      <c r="O185" s="144"/>
      <c r="P185" s="144"/>
      <c r="Q185" s="145"/>
      <c r="R185" s="145"/>
      <c r="S185" s="148"/>
      <c r="T185" s="147"/>
      <c r="U185" s="144"/>
      <c r="V185" s="144"/>
    </row>
    <row r="186" spans="1:22" ht="14" x14ac:dyDescent="0.15">
      <c r="A186" s="144"/>
      <c r="B186" s="144"/>
      <c r="C186" s="145"/>
      <c r="D186" s="145"/>
      <c r="E186" s="148"/>
      <c r="F186" s="147"/>
      <c r="G186" s="144"/>
      <c r="H186" s="144"/>
      <c r="I186" s="144"/>
      <c r="J186" s="145"/>
      <c r="K186" s="145"/>
      <c r="L186" s="148"/>
      <c r="M186" s="155"/>
      <c r="N186" s="144"/>
      <c r="O186" s="144"/>
      <c r="P186" s="144"/>
      <c r="Q186" s="145"/>
      <c r="R186" s="145"/>
      <c r="S186" s="148"/>
      <c r="T186" s="147"/>
      <c r="U186" s="144"/>
      <c r="V186" s="144"/>
    </row>
    <row r="187" spans="1:22" ht="14" x14ac:dyDescent="0.15">
      <c r="A187" s="144"/>
      <c r="B187" s="144"/>
      <c r="C187" s="145"/>
      <c r="D187" s="145"/>
      <c r="E187" s="148"/>
      <c r="F187" s="147"/>
      <c r="G187" s="144"/>
      <c r="H187" s="144"/>
      <c r="I187" s="144"/>
      <c r="J187" s="145"/>
      <c r="K187" s="145"/>
      <c r="L187" s="148"/>
      <c r="M187" s="155"/>
      <c r="N187" s="144"/>
      <c r="O187" s="144"/>
      <c r="P187" s="144"/>
      <c r="Q187" s="145"/>
      <c r="R187" s="145"/>
      <c r="S187" s="148"/>
      <c r="T187" s="147"/>
      <c r="U187" s="144"/>
      <c r="V187" s="144"/>
    </row>
    <row r="188" spans="1:22" ht="14" x14ac:dyDescent="0.15">
      <c r="A188" s="144"/>
      <c r="B188" s="144"/>
      <c r="C188" s="145"/>
      <c r="D188" s="145"/>
      <c r="E188" s="148"/>
      <c r="F188" s="147"/>
      <c r="G188" s="144"/>
      <c r="H188" s="144"/>
      <c r="I188" s="144"/>
      <c r="J188" s="145"/>
      <c r="K188" s="145"/>
      <c r="L188" s="148"/>
      <c r="M188" s="155"/>
      <c r="N188" s="144"/>
      <c r="O188" s="144"/>
      <c r="P188" s="144"/>
      <c r="Q188" s="145"/>
      <c r="R188" s="145"/>
      <c r="S188" s="148"/>
      <c r="T188" s="147"/>
      <c r="U188" s="144"/>
      <c r="V188" s="144"/>
    </row>
    <row r="189" spans="1:22" ht="14" x14ac:dyDescent="0.15">
      <c r="A189" s="144"/>
      <c r="B189" s="144"/>
      <c r="C189" s="145"/>
      <c r="D189" s="145"/>
      <c r="E189" s="148"/>
      <c r="F189" s="147"/>
      <c r="G189" s="144"/>
      <c r="H189" s="144"/>
      <c r="I189" s="144"/>
      <c r="J189" s="145"/>
      <c r="K189" s="145"/>
      <c r="L189" s="148"/>
      <c r="M189" s="155"/>
      <c r="N189" s="144"/>
      <c r="O189" s="144"/>
      <c r="P189" s="144"/>
      <c r="Q189" s="145"/>
      <c r="R189" s="145"/>
      <c r="S189" s="148"/>
      <c r="T189" s="147"/>
      <c r="U189" s="144"/>
      <c r="V189" s="144"/>
    </row>
    <row r="190" spans="1:22" ht="14" x14ac:dyDescent="0.15">
      <c r="A190" s="144"/>
      <c r="B190" s="144"/>
      <c r="C190" s="145"/>
      <c r="D190" s="145"/>
      <c r="E190" s="148"/>
      <c r="F190" s="147"/>
      <c r="G190" s="144"/>
      <c r="H190" s="144"/>
      <c r="I190" s="144"/>
      <c r="J190" s="145"/>
      <c r="K190" s="145"/>
      <c r="L190" s="148"/>
      <c r="M190" s="155"/>
      <c r="N190" s="144"/>
      <c r="O190" s="144"/>
      <c r="P190" s="144"/>
      <c r="Q190" s="145"/>
      <c r="R190" s="145"/>
      <c r="S190" s="148"/>
      <c r="T190" s="147"/>
      <c r="U190" s="144"/>
      <c r="V190" s="144"/>
    </row>
    <row r="191" spans="1:22" ht="14" x14ac:dyDescent="0.15">
      <c r="A191" s="144"/>
      <c r="B191" s="144"/>
      <c r="C191" s="145"/>
      <c r="D191" s="145"/>
      <c r="E191" s="148"/>
      <c r="F191" s="147"/>
      <c r="G191" s="144"/>
      <c r="H191" s="144"/>
      <c r="I191" s="144"/>
      <c r="J191" s="145"/>
      <c r="K191" s="145"/>
      <c r="L191" s="148"/>
      <c r="M191" s="155"/>
      <c r="N191" s="144"/>
      <c r="O191" s="144"/>
      <c r="P191" s="144"/>
      <c r="Q191" s="145"/>
      <c r="R191" s="145"/>
      <c r="S191" s="148"/>
      <c r="T191" s="147"/>
      <c r="U191" s="144"/>
      <c r="V191" s="144"/>
    </row>
    <row r="192" spans="1:22" ht="14" x14ac:dyDescent="0.15">
      <c r="A192" s="144"/>
      <c r="B192" s="144"/>
      <c r="C192" s="145"/>
      <c r="D192" s="145"/>
      <c r="E192" s="148"/>
      <c r="F192" s="147"/>
      <c r="G192" s="144"/>
      <c r="H192" s="144"/>
      <c r="I192" s="144"/>
      <c r="J192" s="145"/>
      <c r="K192" s="145"/>
      <c r="L192" s="148"/>
      <c r="M192" s="155"/>
      <c r="N192" s="144"/>
      <c r="O192" s="144"/>
      <c r="P192" s="144"/>
      <c r="Q192" s="145"/>
      <c r="R192" s="145"/>
      <c r="S192" s="148"/>
      <c r="T192" s="147"/>
      <c r="U192" s="144"/>
      <c r="V192" s="144"/>
    </row>
    <row r="193" spans="1:22" ht="14" x14ac:dyDescent="0.15">
      <c r="A193" s="144"/>
      <c r="B193" s="144"/>
      <c r="C193" s="145"/>
      <c r="D193" s="145"/>
      <c r="E193" s="148"/>
      <c r="F193" s="147"/>
      <c r="G193" s="144"/>
      <c r="H193" s="144"/>
      <c r="I193" s="144"/>
      <c r="J193" s="145"/>
      <c r="K193" s="145"/>
      <c r="L193" s="148"/>
      <c r="M193" s="155"/>
      <c r="N193" s="144"/>
      <c r="O193" s="144"/>
      <c r="P193" s="144"/>
      <c r="Q193" s="145"/>
      <c r="R193" s="145"/>
      <c r="S193" s="148"/>
      <c r="T193" s="147"/>
      <c r="U193" s="144"/>
      <c r="V193" s="144"/>
    </row>
    <row r="194" spans="1:22" ht="14" x14ac:dyDescent="0.15">
      <c r="A194" s="144"/>
      <c r="B194" s="144"/>
      <c r="C194" s="145"/>
      <c r="D194" s="145"/>
      <c r="E194" s="148"/>
      <c r="F194" s="147"/>
      <c r="G194" s="144"/>
      <c r="H194" s="144"/>
      <c r="I194" s="144"/>
      <c r="J194" s="145"/>
      <c r="K194" s="145"/>
      <c r="L194" s="148"/>
      <c r="M194" s="155"/>
      <c r="N194" s="144"/>
      <c r="O194" s="144"/>
      <c r="P194" s="144"/>
      <c r="Q194" s="145"/>
      <c r="R194" s="145"/>
      <c r="S194" s="148"/>
      <c r="T194" s="147"/>
      <c r="U194" s="144"/>
      <c r="V194" s="144"/>
    </row>
    <row r="195" spans="1:22" ht="14" x14ac:dyDescent="0.15">
      <c r="A195" s="144"/>
      <c r="B195" s="144"/>
      <c r="C195" s="145"/>
      <c r="D195" s="145"/>
      <c r="E195" s="148"/>
      <c r="F195" s="147"/>
      <c r="G195" s="144"/>
      <c r="H195" s="144"/>
      <c r="I195" s="144"/>
      <c r="J195" s="145"/>
      <c r="K195" s="145"/>
      <c r="L195" s="148"/>
      <c r="M195" s="155"/>
      <c r="N195" s="144"/>
      <c r="O195" s="144"/>
      <c r="P195" s="144"/>
      <c r="Q195" s="145"/>
      <c r="R195" s="145"/>
      <c r="S195" s="148"/>
      <c r="T195" s="147"/>
      <c r="U195" s="144"/>
      <c r="V195" s="144"/>
    </row>
    <row r="196" spans="1:22" ht="14" x14ac:dyDescent="0.15">
      <c r="A196" s="144"/>
      <c r="B196" s="144"/>
      <c r="C196" s="145"/>
      <c r="D196" s="145"/>
      <c r="E196" s="148"/>
      <c r="F196" s="147"/>
      <c r="G196" s="144"/>
      <c r="H196" s="144"/>
      <c r="I196" s="144"/>
      <c r="J196" s="145"/>
      <c r="K196" s="145"/>
      <c r="L196" s="148"/>
      <c r="M196" s="155"/>
      <c r="N196" s="144"/>
      <c r="O196" s="144"/>
      <c r="P196" s="144"/>
      <c r="Q196" s="145"/>
      <c r="R196" s="145"/>
      <c r="S196" s="148"/>
      <c r="T196" s="147"/>
      <c r="U196" s="144"/>
      <c r="V196" s="144"/>
    </row>
    <row r="197" spans="1:22" ht="14" x14ac:dyDescent="0.15">
      <c r="A197" s="144"/>
      <c r="B197" s="144"/>
      <c r="C197" s="145"/>
      <c r="D197" s="145"/>
      <c r="E197" s="148"/>
      <c r="F197" s="147"/>
      <c r="G197" s="144"/>
      <c r="H197" s="144"/>
      <c r="I197" s="144"/>
      <c r="J197" s="145"/>
      <c r="K197" s="145"/>
      <c r="L197" s="148"/>
      <c r="M197" s="155"/>
      <c r="N197" s="144"/>
      <c r="O197" s="144"/>
      <c r="P197" s="144"/>
      <c r="Q197" s="145"/>
      <c r="R197" s="145"/>
      <c r="S197" s="148"/>
      <c r="T197" s="147"/>
      <c r="U197" s="144"/>
      <c r="V197" s="144"/>
    </row>
    <row r="198" spans="1:22" ht="14" x14ac:dyDescent="0.15">
      <c r="A198" s="144"/>
      <c r="B198" s="144"/>
      <c r="C198" s="145"/>
      <c r="D198" s="145"/>
      <c r="E198" s="148"/>
      <c r="F198" s="147"/>
      <c r="G198" s="144"/>
      <c r="H198" s="144"/>
      <c r="I198" s="144"/>
      <c r="J198" s="145"/>
      <c r="K198" s="145"/>
      <c r="L198" s="148"/>
      <c r="M198" s="155"/>
      <c r="N198" s="144"/>
      <c r="O198" s="144"/>
      <c r="P198" s="144"/>
      <c r="Q198" s="145"/>
      <c r="R198" s="145"/>
      <c r="S198" s="148"/>
      <c r="T198" s="147"/>
      <c r="U198" s="144"/>
      <c r="V198" s="144"/>
    </row>
    <row r="199" spans="1:22" ht="14" x14ac:dyDescent="0.15">
      <c r="A199" s="144"/>
      <c r="B199" s="144"/>
      <c r="C199" s="145"/>
      <c r="D199" s="145"/>
      <c r="E199" s="148"/>
      <c r="F199" s="147"/>
      <c r="G199" s="144"/>
      <c r="H199" s="144"/>
      <c r="I199" s="144"/>
      <c r="J199" s="145"/>
      <c r="K199" s="145"/>
      <c r="L199" s="148"/>
      <c r="M199" s="155"/>
      <c r="N199" s="144"/>
      <c r="O199" s="144"/>
      <c r="P199" s="144"/>
      <c r="Q199" s="145"/>
      <c r="R199" s="145"/>
      <c r="S199" s="148"/>
      <c r="T199" s="147"/>
      <c r="U199" s="144"/>
      <c r="V199" s="144"/>
    </row>
    <row r="200" spans="1:22" ht="14" x14ac:dyDescent="0.15">
      <c r="A200" s="144"/>
      <c r="B200" s="144"/>
      <c r="C200" s="145"/>
      <c r="D200" s="145"/>
      <c r="E200" s="148"/>
      <c r="F200" s="147"/>
      <c r="G200" s="144"/>
      <c r="H200" s="144"/>
      <c r="I200" s="144"/>
      <c r="J200" s="145"/>
      <c r="K200" s="145"/>
      <c r="L200" s="148"/>
      <c r="M200" s="155"/>
      <c r="N200" s="144"/>
      <c r="O200" s="144"/>
      <c r="P200" s="144"/>
      <c r="Q200" s="145"/>
      <c r="R200" s="145"/>
      <c r="S200" s="148"/>
      <c r="T200" s="147"/>
      <c r="U200" s="144"/>
      <c r="V200" s="144"/>
    </row>
    <row r="201" spans="1:22" ht="14" x14ac:dyDescent="0.15">
      <c r="A201" s="144"/>
      <c r="B201" s="144"/>
      <c r="C201" s="145"/>
      <c r="D201" s="145"/>
      <c r="E201" s="148"/>
      <c r="F201" s="147"/>
      <c r="G201" s="144"/>
      <c r="H201" s="144"/>
      <c r="I201" s="144"/>
      <c r="J201" s="145"/>
      <c r="K201" s="145"/>
      <c r="L201" s="148"/>
      <c r="M201" s="155"/>
      <c r="N201" s="144"/>
      <c r="O201" s="144"/>
      <c r="P201" s="144"/>
      <c r="Q201" s="145"/>
      <c r="R201" s="145"/>
      <c r="S201" s="148"/>
      <c r="T201" s="147"/>
      <c r="U201" s="144"/>
      <c r="V201" s="144"/>
    </row>
    <row r="202" spans="1:22" ht="14" x14ac:dyDescent="0.15">
      <c r="A202" s="144"/>
      <c r="B202" s="144"/>
      <c r="C202" s="145"/>
      <c r="D202" s="145"/>
      <c r="E202" s="148"/>
      <c r="F202" s="147"/>
      <c r="G202" s="144"/>
      <c r="H202" s="144"/>
      <c r="I202" s="144"/>
      <c r="J202" s="145"/>
      <c r="K202" s="145"/>
      <c r="L202" s="148"/>
      <c r="M202" s="155"/>
      <c r="N202" s="144"/>
      <c r="O202" s="144"/>
      <c r="P202" s="144"/>
      <c r="Q202" s="145"/>
      <c r="R202" s="145"/>
      <c r="S202" s="148"/>
      <c r="T202" s="147"/>
      <c r="U202" s="144"/>
      <c r="V202" s="144"/>
    </row>
    <row r="203" spans="1:22" ht="14" x14ac:dyDescent="0.15">
      <c r="A203" s="144"/>
      <c r="B203" s="144"/>
      <c r="C203" s="145"/>
      <c r="D203" s="145"/>
      <c r="E203" s="148"/>
      <c r="F203" s="147"/>
      <c r="G203" s="144"/>
      <c r="H203" s="144"/>
      <c r="I203" s="144"/>
      <c r="J203" s="145"/>
      <c r="K203" s="145"/>
      <c r="L203" s="148"/>
      <c r="M203" s="155"/>
      <c r="N203" s="144"/>
      <c r="O203" s="144"/>
      <c r="P203" s="144"/>
      <c r="Q203" s="145"/>
      <c r="R203" s="145"/>
      <c r="S203" s="148"/>
      <c r="T203" s="147"/>
      <c r="U203" s="144"/>
      <c r="V203" s="144"/>
    </row>
    <row r="204" spans="1:22" ht="14" x14ac:dyDescent="0.15">
      <c r="A204" s="144"/>
      <c r="B204" s="144"/>
      <c r="C204" s="145"/>
      <c r="D204" s="145"/>
      <c r="E204" s="148"/>
      <c r="F204" s="147"/>
      <c r="G204" s="144"/>
      <c r="H204" s="144"/>
      <c r="I204" s="144"/>
      <c r="J204" s="145"/>
      <c r="K204" s="145"/>
      <c r="L204" s="148"/>
      <c r="M204" s="155"/>
      <c r="N204" s="144"/>
      <c r="O204" s="144"/>
      <c r="P204" s="144"/>
      <c r="Q204" s="145"/>
      <c r="R204" s="145"/>
      <c r="S204" s="148"/>
      <c r="T204" s="147"/>
      <c r="U204" s="144"/>
      <c r="V204" s="144"/>
    </row>
    <row r="205" spans="1:22" ht="14" x14ac:dyDescent="0.15">
      <c r="A205" s="144"/>
      <c r="B205" s="144"/>
      <c r="C205" s="145"/>
      <c r="D205" s="145"/>
      <c r="E205" s="148"/>
      <c r="F205" s="147"/>
      <c r="G205" s="144"/>
      <c r="H205" s="144"/>
      <c r="I205" s="144"/>
      <c r="J205" s="145"/>
      <c r="K205" s="145"/>
      <c r="L205" s="148"/>
      <c r="M205" s="155"/>
      <c r="N205" s="144"/>
      <c r="O205" s="144"/>
      <c r="P205" s="144"/>
      <c r="Q205" s="145"/>
      <c r="R205" s="145"/>
      <c r="S205" s="148"/>
      <c r="T205" s="147"/>
      <c r="U205" s="144"/>
      <c r="V205" s="144"/>
    </row>
    <row r="206" spans="1:22" ht="14" x14ac:dyDescent="0.15">
      <c r="A206" s="144"/>
      <c r="B206" s="144"/>
      <c r="C206" s="145"/>
      <c r="D206" s="145"/>
      <c r="E206" s="148"/>
      <c r="F206" s="147"/>
      <c r="G206" s="144"/>
      <c r="H206" s="144"/>
      <c r="I206" s="144"/>
      <c r="J206" s="145"/>
      <c r="K206" s="145"/>
      <c r="L206" s="148"/>
      <c r="M206" s="155"/>
      <c r="N206" s="144"/>
      <c r="O206" s="144"/>
      <c r="P206" s="144"/>
      <c r="Q206" s="145"/>
      <c r="R206" s="145"/>
      <c r="S206" s="148"/>
      <c r="T206" s="147"/>
      <c r="U206" s="144"/>
      <c r="V206" s="144"/>
    </row>
    <row r="207" spans="1:22" ht="14" x14ac:dyDescent="0.15">
      <c r="A207" s="144"/>
      <c r="B207" s="144"/>
      <c r="C207" s="145"/>
      <c r="D207" s="145"/>
      <c r="E207" s="148"/>
      <c r="F207" s="147"/>
      <c r="G207" s="144"/>
      <c r="H207" s="144"/>
      <c r="I207" s="144"/>
      <c r="J207" s="145"/>
      <c r="K207" s="145"/>
      <c r="L207" s="148"/>
      <c r="M207" s="155"/>
      <c r="N207" s="144"/>
      <c r="O207" s="144"/>
      <c r="P207" s="144"/>
      <c r="Q207" s="145"/>
      <c r="R207" s="145"/>
      <c r="S207" s="148"/>
      <c r="T207" s="147"/>
      <c r="U207" s="144"/>
      <c r="V207" s="144"/>
    </row>
    <row r="208" spans="1:22" ht="14" x14ac:dyDescent="0.15">
      <c r="A208" s="144"/>
      <c r="B208" s="144"/>
      <c r="C208" s="145"/>
      <c r="D208" s="145"/>
      <c r="E208" s="148"/>
      <c r="F208" s="147"/>
      <c r="G208" s="144"/>
      <c r="H208" s="144"/>
      <c r="I208" s="144"/>
      <c r="J208" s="145"/>
      <c r="K208" s="145"/>
      <c r="L208" s="148"/>
      <c r="M208" s="155"/>
      <c r="N208" s="144"/>
      <c r="O208" s="144"/>
      <c r="P208" s="144"/>
      <c r="Q208" s="145"/>
      <c r="R208" s="145"/>
      <c r="S208" s="148"/>
      <c r="T208" s="147"/>
      <c r="U208" s="144"/>
      <c r="V208" s="144"/>
    </row>
    <row r="209" spans="1:22" ht="14" x14ac:dyDescent="0.15">
      <c r="A209" s="144"/>
      <c r="B209" s="144"/>
      <c r="C209" s="145"/>
      <c r="D209" s="145"/>
      <c r="E209" s="148"/>
      <c r="F209" s="147"/>
      <c r="G209" s="144"/>
      <c r="H209" s="144"/>
      <c r="I209" s="144"/>
      <c r="J209" s="145"/>
      <c r="K209" s="145"/>
      <c r="L209" s="148"/>
      <c r="M209" s="155"/>
      <c r="N209" s="144"/>
      <c r="O209" s="144"/>
      <c r="P209" s="144"/>
      <c r="Q209" s="145"/>
      <c r="R209" s="145"/>
      <c r="S209" s="148"/>
      <c r="T209" s="147"/>
      <c r="U209" s="144"/>
      <c r="V209" s="144"/>
    </row>
    <row r="210" spans="1:22" ht="14" x14ac:dyDescent="0.15">
      <c r="A210" s="144"/>
      <c r="B210" s="144"/>
      <c r="C210" s="145"/>
      <c r="D210" s="145"/>
      <c r="E210" s="148"/>
      <c r="F210" s="147"/>
      <c r="G210" s="144"/>
      <c r="H210" s="144"/>
      <c r="I210" s="144"/>
      <c r="J210" s="145"/>
      <c r="K210" s="145"/>
      <c r="L210" s="148"/>
      <c r="M210" s="155"/>
      <c r="N210" s="144"/>
      <c r="O210" s="144"/>
      <c r="P210" s="144"/>
      <c r="Q210" s="145"/>
      <c r="R210" s="145"/>
      <c r="S210" s="148"/>
      <c r="T210" s="147"/>
      <c r="U210" s="144"/>
      <c r="V210" s="144"/>
    </row>
    <row r="211" spans="1:22" ht="14" x14ac:dyDescent="0.15">
      <c r="A211" s="144"/>
      <c r="B211" s="144"/>
      <c r="C211" s="145"/>
      <c r="D211" s="145"/>
      <c r="E211" s="148"/>
      <c r="F211" s="147"/>
      <c r="G211" s="144"/>
      <c r="H211" s="144"/>
      <c r="I211" s="144"/>
      <c r="J211" s="145"/>
      <c r="K211" s="145"/>
      <c r="L211" s="148"/>
      <c r="M211" s="155"/>
      <c r="N211" s="144"/>
      <c r="O211" s="144"/>
      <c r="P211" s="144"/>
      <c r="Q211" s="145"/>
      <c r="R211" s="145"/>
      <c r="S211" s="148"/>
      <c r="T211" s="147"/>
      <c r="U211" s="144"/>
      <c r="V211" s="144"/>
    </row>
    <row r="212" spans="1:22" ht="14" x14ac:dyDescent="0.15">
      <c r="A212" s="144"/>
      <c r="B212" s="144"/>
      <c r="C212" s="145"/>
      <c r="D212" s="145"/>
      <c r="E212" s="148"/>
      <c r="F212" s="147"/>
      <c r="G212" s="144"/>
      <c r="H212" s="144"/>
      <c r="I212" s="144"/>
      <c r="J212" s="145"/>
      <c r="K212" s="145"/>
      <c r="L212" s="148"/>
      <c r="M212" s="155"/>
      <c r="N212" s="144"/>
      <c r="O212" s="144"/>
      <c r="P212" s="144"/>
      <c r="Q212" s="145"/>
      <c r="R212" s="145"/>
      <c r="S212" s="148"/>
      <c r="T212" s="147"/>
      <c r="U212" s="144"/>
      <c r="V212" s="144"/>
    </row>
    <row r="213" spans="1:22" ht="14" x14ac:dyDescent="0.15">
      <c r="A213" s="144"/>
      <c r="B213" s="144"/>
      <c r="C213" s="145"/>
      <c r="D213" s="145"/>
      <c r="E213" s="148"/>
      <c r="F213" s="147"/>
      <c r="G213" s="144"/>
      <c r="H213" s="144"/>
      <c r="I213" s="144"/>
      <c r="J213" s="145"/>
      <c r="K213" s="145"/>
      <c r="L213" s="148"/>
      <c r="M213" s="155"/>
      <c r="N213" s="144"/>
      <c r="O213" s="144"/>
      <c r="P213" s="144"/>
      <c r="Q213" s="145"/>
      <c r="R213" s="145"/>
      <c r="S213" s="148"/>
      <c r="T213" s="147"/>
      <c r="U213" s="144"/>
      <c r="V213" s="144"/>
    </row>
    <row r="214" spans="1:22" ht="14" x14ac:dyDescent="0.15">
      <c r="A214" s="144"/>
      <c r="B214" s="144"/>
      <c r="C214" s="145"/>
      <c r="D214" s="145"/>
      <c r="E214" s="148"/>
      <c r="F214" s="147"/>
      <c r="G214" s="144"/>
      <c r="H214" s="144"/>
      <c r="I214" s="144"/>
      <c r="J214" s="145"/>
      <c r="K214" s="145"/>
      <c r="L214" s="148"/>
      <c r="M214" s="155"/>
      <c r="N214" s="144"/>
      <c r="O214" s="144"/>
      <c r="P214" s="144"/>
      <c r="Q214" s="145"/>
      <c r="R214" s="145"/>
      <c r="S214" s="148"/>
      <c r="T214" s="147"/>
      <c r="U214" s="144"/>
      <c r="V214" s="144"/>
    </row>
    <row r="215" spans="1:22" ht="14" x14ac:dyDescent="0.15">
      <c r="A215" s="144"/>
      <c r="B215" s="144"/>
      <c r="C215" s="145"/>
      <c r="D215" s="145"/>
      <c r="E215" s="148"/>
      <c r="F215" s="147"/>
      <c r="G215" s="144"/>
      <c r="H215" s="144"/>
      <c r="I215" s="144"/>
      <c r="J215" s="145"/>
      <c r="K215" s="145"/>
      <c r="L215" s="148"/>
      <c r="M215" s="155"/>
      <c r="N215" s="144"/>
      <c r="O215" s="144"/>
      <c r="P215" s="144"/>
      <c r="Q215" s="145"/>
      <c r="R215" s="145"/>
      <c r="S215" s="148"/>
      <c r="T215" s="147"/>
      <c r="U215" s="144"/>
      <c r="V215" s="144"/>
    </row>
    <row r="216" spans="1:22" ht="14" x14ac:dyDescent="0.15">
      <c r="A216" s="144"/>
      <c r="B216" s="144"/>
      <c r="C216" s="145"/>
      <c r="D216" s="145"/>
      <c r="E216" s="148"/>
      <c r="F216" s="147"/>
      <c r="G216" s="144"/>
      <c r="H216" s="144"/>
      <c r="I216" s="144"/>
      <c r="J216" s="145"/>
      <c r="K216" s="145"/>
      <c r="L216" s="148"/>
      <c r="M216" s="155"/>
      <c r="N216" s="144"/>
      <c r="O216" s="144"/>
      <c r="P216" s="144"/>
      <c r="Q216" s="145"/>
      <c r="R216" s="145"/>
      <c r="S216" s="148"/>
      <c r="T216" s="147"/>
      <c r="U216" s="144"/>
      <c r="V216" s="144"/>
    </row>
    <row r="217" spans="1:22" ht="14" x14ac:dyDescent="0.15">
      <c r="A217" s="144"/>
      <c r="B217" s="144"/>
      <c r="C217" s="145"/>
      <c r="D217" s="145"/>
      <c r="E217" s="148"/>
      <c r="F217" s="147"/>
      <c r="G217" s="144"/>
      <c r="H217" s="144"/>
      <c r="I217" s="144"/>
      <c r="J217" s="145"/>
      <c r="K217" s="145"/>
      <c r="L217" s="148"/>
      <c r="M217" s="155"/>
      <c r="N217" s="144"/>
      <c r="O217" s="144"/>
      <c r="P217" s="144"/>
      <c r="Q217" s="145"/>
      <c r="R217" s="145"/>
      <c r="S217" s="148"/>
      <c r="T217" s="147"/>
      <c r="U217" s="144"/>
      <c r="V217" s="144"/>
    </row>
    <row r="218" spans="1:22" ht="14" x14ac:dyDescent="0.15">
      <c r="A218" s="144"/>
      <c r="B218" s="144"/>
      <c r="C218" s="145"/>
      <c r="D218" s="145"/>
      <c r="E218" s="148"/>
      <c r="F218" s="147"/>
      <c r="G218" s="144"/>
      <c r="H218" s="144"/>
      <c r="I218" s="144"/>
      <c r="J218" s="145"/>
      <c r="K218" s="145"/>
      <c r="L218" s="148"/>
      <c r="M218" s="155"/>
      <c r="N218" s="144"/>
      <c r="O218" s="144"/>
      <c r="P218" s="144"/>
      <c r="Q218" s="145"/>
      <c r="R218" s="145"/>
      <c r="S218" s="148"/>
      <c r="T218" s="147"/>
      <c r="U218" s="144"/>
      <c r="V218" s="144"/>
    </row>
    <row r="219" spans="1:22" ht="14" x14ac:dyDescent="0.15">
      <c r="A219" s="144"/>
      <c r="B219" s="144"/>
      <c r="C219" s="145"/>
      <c r="D219" s="145"/>
      <c r="E219" s="148"/>
      <c r="F219" s="147"/>
      <c r="G219" s="144"/>
      <c r="H219" s="144"/>
      <c r="I219" s="144"/>
      <c r="J219" s="145"/>
      <c r="K219" s="145"/>
      <c r="L219" s="148"/>
      <c r="M219" s="155"/>
      <c r="N219" s="144"/>
      <c r="O219" s="144"/>
      <c r="P219" s="144"/>
      <c r="Q219" s="145"/>
      <c r="R219" s="145"/>
      <c r="S219" s="148"/>
      <c r="T219" s="147"/>
      <c r="U219" s="144"/>
      <c r="V219" s="144"/>
    </row>
    <row r="220" spans="1:22" ht="14" x14ac:dyDescent="0.15">
      <c r="A220" s="144"/>
      <c r="B220" s="144"/>
      <c r="C220" s="145"/>
      <c r="D220" s="145"/>
      <c r="E220" s="148"/>
      <c r="F220" s="147"/>
      <c r="G220" s="144"/>
      <c r="H220" s="144"/>
      <c r="I220" s="144"/>
      <c r="J220" s="145"/>
      <c r="K220" s="145"/>
      <c r="L220" s="148"/>
      <c r="M220" s="155"/>
      <c r="N220" s="144"/>
      <c r="O220" s="144"/>
      <c r="P220" s="144"/>
      <c r="Q220" s="145"/>
      <c r="R220" s="145"/>
      <c r="S220" s="148"/>
      <c r="T220" s="147"/>
      <c r="U220" s="144"/>
      <c r="V220" s="144"/>
    </row>
    <row r="221" spans="1:22" ht="14" x14ac:dyDescent="0.15">
      <c r="A221" s="144"/>
      <c r="B221" s="144"/>
      <c r="C221" s="145"/>
      <c r="D221" s="145"/>
      <c r="E221" s="148"/>
      <c r="F221" s="147"/>
      <c r="G221" s="144"/>
      <c r="H221" s="144"/>
      <c r="I221" s="144"/>
      <c r="J221" s="145"/>
      <c r="K221" s="145"/>
      <c r="L221" s="148"/>
      <c r="M221" s="155"/>
      <c r="N221" s="144"/>
      <c r="O221" s="144"/>
      <c r="P221" s="144"/>
      <c r="Q221" s="145"/>
      <c r="R221" s="145"/>
      <c r="S221" s="148"/>
      <c r="T221" s="147"/>
      <c r="U221" s="144"/>
      <c r="V221" s="144"/>
    </row>
    <row r="222" spans="1:22" ht="14" x14ac:dyDescent="0.15">
      <c r="A222" s="144"/>
      <c r="B222" s="144"/>
      <c r="C222" s="145"/>
      <c r="D222" s="145"/>
      <c r="E222" s="148"/>
      <c r="F222" s="147"/>
      <c r="G222" s="144"/>
      <c r="H222" s="144"/>
      <c r="I222" s="144"/>
      <c r="J222" s="145"/>
      <c r="K222" s="145"/>
      <c r="L222" s="148"/>
      <c r="M222" s="155"/>
      <c r="N222" s="144"/>
      <c r="O222" s="144"/>
      <c r="P222" s="144"/>
      <c r="Q222" s="145"/>
      <c r="R222" s="145"/>
      <c r="S222" s="148"/>
      <c r="T222" s="147"/>
      <c r="U222" s="144"/>
      <c r="V222" s="144"/>
    </row>
    <row r="223" spans="1:22" ht="14" x14ac:dyDescent="0.15">
      <c r="A223" s="144"/>
      <c r="B223" s="144"/>
      <c r="C223" s="145"/>
      <c r="D223" s="145"/>
      <c r="E223" s="148"/>
      <c r="F223" s="147"/>
      <c r="G223" s="144"/>
      <c r="H223" s="144"/>
      <c r="I223" s="144"/>
      <c r="J223" s="145"/>
      <c r="K223" s="145"/>
      <c r="L223" s="148"/>
      <c r="M223" s="155"/>
      <c r="N223" s="144"/>
      <c r="O223" s="144"/>
      <c r="P223" s="144"/>
      <c r="Q223" s="145"/>
      <c r="R223" s="145"/>
      <c r="S223" s="148"/>
      <c r="T223" s="147"/>
      <c r="U223" s="144"/>
      <c r="V223" s="144"/>
    </row>
    <row r="224" spans="1:22" ht="14" x14ac:dyDescent="0.15">
      <c r="A224" s="144"/>
      <c r="B224" s="144"/>
      <c r="C224" s="145"/>
      <c r="D224" s="145"/>
      <c r="E224" s="148"/>
      <c r="F224" s="147"/>
      <c r="G224" s="144"/>
      <c r="H224" s="144"/>
      <c r="I224" s="144"/>
      <c r="J224" s="145"/>
      <c r="K224" s="145"/>
      <c r="L224" s="148"/>
      <c r="M224" s="155"/>
      <c r="N224" s="144"/>
      <c r="O224" s="144"/>
      <c r="P224" s="144"/>
      <c r="Q224" s="145"/>
      <c r="R224" s="145"/>
      <c r="S224" s="148"/>
      <c r="T224" s="147"/>
      <c r="U224" s="144"/>
      <c r="V224" s="144"/>
    </row>
    <row r="225" spans="1:22" ht="14" x14ac:dyDescent="0.15">
      <c r="A225" s="144"/>
      <c r="B225" s="144"/>
      <c r="C225" s="145"/>
      <c r="D225" s="145"/>
      <c r="E225" s="148"/>
      <c r="F225" s="147"/>
      <c r="G225" s="144"/>
      <c r="H225" s="144"/>
      <c r="I225" s="144"/>
      <c r="J225" s="145"/>
      <c r="K225" s="145"/>
      <c r="L225" s="148"/>
      <c r="M225" s="155"/>
      <c r="N225" s="144"/>
      <c r="O225" s="144"/>
      <c r="P225" s="144"/>
      <c r="Q225" s="145"/>
      <c r="R225" s="145"/>
      <c r="S225" s="148"/>
      <c r="T225" s="147"/>
      <c r="U225" s="144"/>
      <c r="V225" s="144"/>
    </row>
    <row r="226" spans="1:22" ht="14" x14ac:dyDescent="0.15">
      <c r="A226" s="144"/>
      <c r="B226" s="144"/>
      <c r="C226" s="145"/>
      <c r="D226" s="145"/>
      <c r="E226" s="148"/>
      <c r="F226" s="147"/>
      <c r="G226" s="144"/>
      <c r="H226" s="144"/>
      <c r="I226" s="144"/>
      <c r="J226" s="145"/>
      <c r="K226" s="145"/>
      <c r="L226" s="148"/>
      <c r="M226" s="155"/>
      <c r="N226" s="144"/>
      <c r="O226" s="144"/>
      <c r="P226" s="144"/>
      <c r="Q226" s="145"/>
      <c r="R226" s="145"/>
      <c r="S226" s="148"/>
      <c r="T226" s="147"/>
      <c r="U226" s="144"/>
      <c r="V226" s="144"/>
    </row>
    <row r="227" spans="1:22" ht="14" x14ac:dyDescent="0.15">
      <c r="A227" s="144"/>
      <c r="B227" s="144"/>
      <c r="C227" s="145"/>
      <c r="D227" s="145"/>
      <c r="E227" s="148"/>
      <c r="F227" s="147"/>
      <c r="G227" s="144"/>
      <c r="H227" s="144"/>
      <c r="I227" s="144"/>
      <c r="J227" s="145"/>
      <c r="K227" s="145"/>
      <c r="L227" s="148"/>
      <c r="M227" s="155"/>
      <c r="N227" s="144"/>
      <c r="O227" s="144"/>
      <c r="P227" s="144"/>
      <c r="Q227" s="145"/>
      <c r="R227" s="145"/>
      <c r="S227" s="148"/>
      <c r="T227" s="147"/>
      <c r="U227" s="144"/>
      <c r="V227" s="144"/>
    </row>
    <row r="228" spans="1:22" ht="14" x14ac:dyDescent="0.15">
      <c r="A228" s="144"/>
      <c r="B228" s="144"/>
      <c r="C228" s="145"/>
      <c r="D228" s="145"/>
      <c r="E228" s="148"/>
      <c r="F228" s="147"/>
      <c r="G228" s="144"/>
      <c r="H228" s="144"/>
      <c r="I228" s="144"/>
      <c r="J228" s="145"/>
      <c r="K228" s="145"/>
      <c r="L228" s="148"/>
      <c r="M228" s="155"/>
      <c r="N228" s="144"/>
      <c r="O228" s="144"/>
      <c r="P228" s="144"/>
      <c r="Q228" s="145"/>
      <c r="R228" s="145"/>
      <c r="S228" s="148"/>
      <c r="T228" s="147"/>
      <c r="U228" s="144"/>
      <c r="V228" s="144"/>
    </row>
    <row r="229" spans="1:22" ht="14" x14ac:dyDescent="0.15">
      <c r="A229" s="144"/>
      <c r="B229" s="144"/>
      <c r="C229" s="145"/>
      <c r="D229" s="145"/>
      <c r="E229" s="148"/>
      <c r="F229" s="147"/>
      <c r="G229" s="144"/>
      <c r="H229" s="144"/>
      <c r="I229" s="144"/>
      <c r="J229" s="145"/>
      <c r="K229" s="145"/>
      <c r="L229" s="148"/>
      <c r="M229" s="155"/>
      <c r="N229" s="144"/>
      <c r="O229" s="144"/>
      <c r="P229" s="144"/>
      <c r="Q229" s="145"/>
      <c r="R229" s="145"/>
      <c r="S229" s="148"/>
      <c r="T229" s="147"/>
      <c r="U229" s="144"/>
      <c r="V229" s="144"/>
    </row>
    <row r="230" spans="1:22" ht="14" x14ac:dyDescent="0.15">
      <c r="A230" s="144"/>
      <c r="B230" s="144"/>
      <c r="C230" s="145"/>
      <c r="D230" s="145"/>
      <c r="E230" s="148"/>
      <c r="F230" s="147"/>
      <c r="G230" s="144"/>
      <c r="H230" s="144"/>
      <c r="I230" s="144"/>
      <c r="J230" s="145"/>
      <c r="K230" s="145"/>
      <c r="L230" s="148"/>
      <c r="M230" s="155"/>
      <c r="N230" s="144"/>
      <c r="O230" s="144"/>
      <c r="P230" s="144"/>
      <c r="Q230" s="145"/>
      <c r="R230" s="145"/>
      <c r="S230" s="148"/>
      <c r="T230" s="147"/>
      <c r="U230" s="144"/>
      <c r="V230" s="144"/>
    </row>
    <row r="231" spans="1:22" ht="14" x14ac:dyDescent="0.15">
      <c r="A231" s="144"/>
      <c r="B231" s="144"/>
      <c r="C231" s="145"/>
      <c r="D231" s="145"/>
      <c r="E231" s="148"/>
      <c r="F231" s="147"/>
      <c r="G231" s="144"/>
      <c r="H231" s="144"/>
      <c r="I231" s="144"/>
      <c r="J231" s="145"/>
      <c r="K231" s="145"/>
      <c r="L231" s="148"/>
      <c r="M231" s="155"/>
      <c r="N231" s="144"/>
      <c r="O231" s="144"/>
      <c r="P231" s="144"/>
      <c r="Q231" s="145"/>
      <c r="R231" s="145"/>
      <c r="S231" s="148"/>
      <c r="T231" s="147"/>
      <c r="U231" s="144"/>
      <c r="V231" s="144"/>
    </row>
    <row r="232" spans="1:22" ht="14" x14ac:dyDescent="0.15">
      <c r="A232" s="144"/>
      <c r="B232" s="144"/>
      <c r="C232" s="145"/>
      <c r="D232" s="145"/>
      <c r="E232" s="148"/>
      <c r="F232" s="147"/>
      <c r="G232" s="144"/>
      <c r="H232" s="144"/>
      <c r="I232" s="144"/>
      <c r="J232" s="145"/>
      <c r="K232" s="145"/>
      <c r="L232" s="148"/>
      <c r="M232" s="155"/>
      <c r="N232" s="144"/>
      <c r="O232" s="144"/>
      <c r="P232" s="144"/>
      <c r="Q232" s="145"/>
      <c r="R232" s="145"/>
      <c r="S232" s="148"/>
      <c r="T232" s="147"/>
      <c r="U232" s="144"/>
      <c r="V232" s="144"/>
    </row>
    <row r="233" spans="1:22" ht="14" x14ac:dyDescent="0.15">
      <c r="A233" s="144"/>
      <c r="B233" s="144"/>
      <c r="C233" s="145"/>
      <c r="D233" s="145"/>
      <c r="E233" s="148"/>
      <c r="F233" s="147"/>
      <c r="G233" s="144"/>
      <c r="H233" s="144"/>
      <c r="I233" s="144"/>
      <c r="J233" s="145"/>
      <c r="K233" s="145"/>
      <c r="L233" s="148"/>
      <c r="M233" s="155"/>
      <c r="N233" s="144"/>
      <c r="O233" s="144"/>
      <c r="P233" s="144"/>
      <c r="Q233" s="145"/>
      <c r="R233" s="145"/>
      <c r="S233" s="148"/>
      <c r="T233" s="147"/>
      <c r="U233" s="144"/>
      <c r="V233" s="144"/>
    </row>
    <row r="234" spans="1:22" ht="14" x14ac:dyDescent="0.15">
      <c r="A234" s="144"/>
      <c r="B234" s="144"/>
      <c r="C234" s="145"/>
      <c r="D234" s="145"/>
      <c r="E234" s="148"/>
      <c r="F234" s="147"/>
      <c r="G234" s="144"/>
      <c r="H234" s="144"/>
      <c r="I234" s="144"/>
      <c r="J234" s="145"/>
      <c r="K234" s="145"/>
      <c r="L234" s="148"/>
      <c r="M234" s="155"/>
      <c r="N234" s="144"/>
      <c r="O234" s="144"/>
      <c r="P234" s="144"/>
      <c r="Q234" s="145"/>
      <c r="R234" s="145"/>
      <c r="S234" s="148"/>
      <c r="T234" s="147"/>
      <c r="U234" s="144"/>
      <c r="V234" s="144"/>
    </row>
    <row r="235" spans="1:22" ht="14" x14ac:dyDescent="0.15">
      <c r="A235" s="144"/>
      <c r="B235" s="144"/>
      <c r="C235" s="145"/>
      <c r="D235" s="145"/>
      <c r="E235" s="148"/>
      <c r="F235" s="147"/>
      <c r="G235" s="144"/>
      <c r="H235" s="144"/>
      <c r="I235" s="144"/>
      <c r="J235" s="145"/>
      <c r="K235" s="145"/>
      <c r="L235" s="148"/>
      <c r="M235" s="155"/>
      <c r="N235" s="144"/>
      <c r="O235" s="144"/>
      <c r="P235" s="144"/>
      <c r="Q235" s="145"/>
      <c r="R235" s="145"/>
      <c r="S235" s="148"/>
      <c r="T235" s="147"/>
      <c r="U235" s="144"/>
      <c r="V235" s="144"/>
    </row>
    <row r="236" spans="1:22" ht="14" x14ac:dyDescent="0.15">
      <c r="A236" s="144"/>
      <c r="B236" s="144"/>
      <c r="C236" s="145"/>
      <c r="D236" s="145"/>
      <c r="E236" s="148"/>
      <c r="F236" s="147"/>
      <c r="G236" s="144"/>
      <c r="H236" s="144"/>
      <c r="I236" s="144"/>
      <c r="J236" s="145"/>
      <c r="K236" s="145"/>
      <c r="L236" s="148"/>
      <c r="M236" s="155"/>
      <c r="N236" s="144"/>
      <c r="O236" s="144"/>
      <c r="P236" s="144"/>
      <c r="Q236" s="145"/>
      <c r="R236" s="145"/>
      <c r="S236" s="148"/>
      <c r="T236" s="147"/>
      <c r="U236" s="144"/>
      <c r="V236" s="144"/>
    </row>
    <row r="237" spans="1:22" ht="14" x14ac:dyDescent="0.15">
      <c r="A237" s="144"/>
      <c r="B237" s="144"/>
      <c r="C237" s="145"/>
      <c r="D237" s="145"/>
      <c r="E237" s="148"/>
      <c r="F237" s="147"/>
      <c r="G237" s="144"/>
      <c r="H237" s="144"/>
      <c r="I237" s="144"/>
      <c r="J237" s="145"/>
      <c r="K237" s="145"/>
      <c r="L237" s="148"/>
      <c r="M237" s="155"/>
      <c r="N237" s="144"/>
      <c r="O237" s="144"/>
      <c r="P237" s="144"/>
      <c r="Q237" s="145"/>
      <c r="R237" s="145"/>
      <c r="S237" s="148"/>
      <c r="T237" s="147"/>
      <c r="U237" s="144"/>
      <c r="V237" s="144"/>
    </row>
    <row r="238" spans="1:22" ht="14" x14ac:dyDescent="0.15">
      <c r="A238" s="144"/>
      <c r="B238" s="144"/>
      <c r="C238" s="145"/>
      <c r="D238" s="145"/>
      <c r="E238" s="148"/>
      <c r="F238" s="147"/>
      <c r="G238" s="144"/>
      <c r="H238" s="144"/>
      <c r="I238" s="144"/>
      <c r="J238" s="145"/>
      <c r="K238" s="145"/>
      <c r="L238" s="148"/>
      <c r="M238" s="155"/>
      <c r="N238" s="144"/>
      <c r="O238" s="144"/>
      <c r="P238" s="144"/>
      <c r="Q238" s="145"/>
      <c r="R238" s="145"/>
      <c r="S238" s="148"/>
      <c r="T238" s="147"/>
      <c r="U238" s="144"/>
      <c r="V238" s="144"/>
    </row>
    <row r="239" spans="1:22" ht="14" x14ac:dyDescent="0.15">
      <c r="A239" s="144"/>
      <c r="B239" s="144"/>
      <c r="C239" s="145"/>
      <c r="D239" s="145"/>
      <c r="E239" s="148"/>
      <c r="F239" s="147"/>
      <c r="G239" s="144"/>
      <c r="H239" s="144"/>
      <c r="I239" s="144"/>
      <c r="J239" s="145"/>
      <c r="K239" s="145"/>
      <c r="L239" s="148"/>
      <c r="M239" s="155"/>
      <c r="N239" s="144"/>
      <c r="O239" s="144"/>
      <c r="P239" s="144"/>
      <c r="Q239" s="145"/>
      <c r="R239" s="145"/>
      <c r="S239" s="148"/>
      <c r="T239" s="147"/>
      <c r="U239" s="144"/>
      <c r="V239" s="144"/>
    </row>
    <row r="240" spans="1:22" ht="14" x14ac:dyDescent="0.15">
      <c r="A240" s="144"/>
      <c r="B240" s="144"/>
      <c r="C240" s="145"/>
      <c r="D240" s="145"/>
      <c r="E240" s="148"/>
      <c r="F240" s="147"/>
      <c r="G240" s="144"/>
      <c r="H240" s="144"/>
      <c r="I240" s="144"/>
      <c r="J240" s="145"/>
      <c r="K240" s="145"/>
      <c r="L240" s="148"/>
      <c r="M240" s="155"/>
      <c r="N240" s="144"/>
      <c r="O240" s="144"/>
      <c r="P240" s="144"/>
      <c r="Q240" s="145"/>
      <c r="R240" s="145"/>
      <c r="S240" s="148"/>
      <c r="T240" s="147"/>
      <c r="U240" s="144"/>
      <c r="V240" s="144"/>
    </row>
    <row r="241" spans="1:22" ht="14" x14ac:dyDescent="0.15">
      <c r="A241" s="144"/>
      <c r="B241" s="144"/>
      <c r="C241" s="145"/>
      <c r="D241" s="145"/>
      <c r="E241" s="148"/>
      <c r="F241" s="147"/>
      <c r="G241" s="144"/>
      <c r="H241" s="144"/>
      <c r="I241" s="144"/>
      <c r="J241" s="145"/>
      <c r="K241" s="145"/>
      <c r="L241" s="148"/>
      <c r="M241" s="155"/>
      <c r="N241" s="144"/>
      <c r="O241" s="144"/>
      <c r="P241" s="144"/>
      <c r="Q241" s="145"/>
      <c r="R241" s="145"/>
      <c r="S241" s="148"/>
      <c r="T241" s="147"/>
      <c r="U241" s="144"/>
      <c r="V241" s="144"/>
    </row>
    <row r="242" spans="1:22" ht="14" x14ac:dyDescent="0.15">
      <c r="A242" s="144"/>
      <c r="B242" s="144"/>
      <c r="C242" s="145"/>
      <c r="D242" s="145"/>
      <c r="E242" s="148"/>
      <c r="F242" s="147"/>
      <c r="G242" s="144"/>
      <c r="H242" s="144"/>
      <c r="I242" s="144"/>
      <c r="J242" s="145"/>
      <c r="K242" s="145"/>
      <c r="L242" s="148"/>
      <c r="M242" s="155"/>
      <c r="N242" s="144"/>
      <c r="O242" s="144"/>
      <c r="P242" s="144"/>
      <c r="Q242" s="145"/>
      <c r="R242" s="145"/>
      <c r="S242" s="148"/>
      <c r="T242" s="147"/>
      <c r="U242" s="144"/>
      <c r="V242" s="144"/>
    </row>
    <row r="243" spans="1:22" ht="14" x14ac:dyDescent="0.15">
      <c r="A243" s="144"/>
      <c r="B243" s="144"/>
      <c r="C243" s="145"/>
      <c r="D243" s="145"/>
      <c r="E243" s="148"/>
      <c r="F243" s="147"/>
      <c r="G243" s="144"/>
      <c r="H243" s="144"/>
      <c r="I243" s="144"/>
      <c r="J243" s="145"/>
      <c r="K243" s="145"/>
      <c r="L243" s="148"/>
      <c r="M243" s="155"/>
      <c r="N243" s="144"/>
      <c r="O243" s="144"/>
      <c r="P243" s="144"/>
      <c r="Q243" s="145"/>
      <c r="R243" s="145"/>
      <c r="S243" s="148"/>
      <c r="T243" s="147"/>
      <c r="U243" s="144"/>
      <c r="V243" s="144"/>
    </row>
    <row r="244" spans="1:22" ht="14" x14ac:dyDescent="0.15">
      <c r="A244" s="144"/>
      <c r="B244" s="144"/>
      <c r="C244" s="145"/>
      <c r="D244" s="145"/>
      <c r="E244" s="148"/>
      <c r="F244" s="147"/>
      <c r="G244" s="144"/>
      <c r="H244" s="144"/>
      <c r="I244" s="144"/>
      <c r="J244" s="145"/>
      <c r="K244" s="145"/>
      <c r="L244" s="148"/>
      <c r="M244" s="155"/>
      <c r="N244" s="144"/>
      <c r="O244" s="144"/>
      <c r="P244" s="144"/>
      <c r="Q244" s="145"/>
      <c r="R244" s="145"/>
      <c r="S244" s="148"/>
      <c r="T244" s="147"/>
      <c r="U244" s="144"/>
      <c r="V244" s="144"/>
    </row>
    <row r="245" spans="1:22" ht="14" x14ac:dyDescent="0.15">
      <c r="A245" s="144"/>
      <c r="B245" s="144"/>
      <c r="C245" s="145"/>
      <c r="D245" s="145"/>
      <c r="E245" s="148"/>
      <c r="F245" s="147"/>
      <c r="G245" s="144"/>
      <c r="H245" s="144"/>
      <c r="I245" s="144"/>
      <c r="J245" s="145"/>
      <c r="K245" s="145"/>
      <c r="L245" s="148"/>
      <c r="M245" s="155"/>
      <c r="N245" s="144"/>
      <c r="O245" s="144"/>
      <c r="P245" s="144"/>
      <c r="Q245" s="145"/>
      <c r="R245" s="145"/>
      <c r="S245" s="148"/>
      <c r="T245" s="147"/>
      <c r="U245" s="144"/>
      <c r="V245" s="144"/>
    </row>
    <row r="246" spans="1:22" ht="14" x14ac:dyDescent="0.15">
      <c r="A246" s="144"/>
      <c r="B246" s="144"/>
      <c r="C246" s="145"/>
      <c r="D246" s="145"/>
      <c r="E246" s="148"/>
      <c r="F246" s="147"/>
      <c r="G246" s="144"/>
      <c r="H246" s="144"/>
      <c r="I246" s="144"/>
      <c r="J246" s="145"/>
      <c r="K246" s="145"/>
      <c r="L246" s="148"/>
      <c r="M246" s="155"/>
      <c r="N246" s="144"/>
      <c r="O246" s="144"/>
      <c r="P246" s="144"/>
      <c r="Q246" s="145"/>
      <c r="R246" s="145"/>
      <c r="S246" s="148"/>
      <c r="T246" s="147"/>
      <c r="U246" s="144"/>
      <c r="V246" s="144"/>
    </row>
    <row r="247" spans="1:22" ht="14" x14ac:dyDescent="0.15">
      <c r="A247" s="144"/>
      <c r="B247" s="144"/>
      <c r="C247" s="145"/>
      <c r="D247" s="145"/>
      <c r="E247" s="148"/>
      <c r="F247" s="147"/>
      <c r="G247" s="144"/>
      <c r="H247" s="144"/>
      <c r="I247" s="144"/>
      <c r="J247" s="145"/>
      <c r="K247" s="145"/>
      <c r="L247" s="148"/>
      <c r="M247" s="155"/>
      <c r="N247" s="144"/>
      <c r="O247" s="144"/>
      <c r="P247" s="144"/>
      <c r="Q247" s="145"/>
      <c r="R247" s="145"/>
      <c r="S247" s="148"/>
      <c r="T247" s="147"/>
      <c r="U247" s="144"/>
      <c r="V247" s="144"/>
    </row>
    <row r="248" spans="1:22" ht="14" x14ac:dyDescent="0.15">
      <c r="A248" s="144"/>
      <c r="B248" s="144"/>
      <c r="C248" s="145"/>
      <c r="D248" s="145"/>
      <c r="E248" s="148"/>
      <c r="F248" s="147"/>
      <c r="G248" s="144"/>
      <c r="H248" s="144"/>
      <c r="I248" s="144"/>
      <c r="J248" s="145"/>
      <c r="K248" s="145"/>
      <c r="L248" s="148"/>
      <c r="M248" s="155"/>
      <c r="N248" s="144"/>
      <c r="O248" s="144"/>
      <c r="P248" s="144"/>
      <c r="Q248" s="145"/>
      <c r="R248" s="145"/>
      <c r="S248" s="148"/>
      <c r="T248" s="147"/>
      <c r="U248" s="144"/>
      <c r="V248" s="144"/>
    </row>
    <row r="249" spans="1:22" ht="14" x14ac:dyDescent="0.15">
      <c r="A249" s="144"/>
      <c r="B249" s="144"/>
      <c r="C249" s="145"/>
      <c r="D249" s="145"/>
      <c r="E249" s="148"/>
      <c r="F249" s="147"/>
      <c r="G249" s="144"/>
      <c r="H249" s="144"/>
      <c r="I249" s="144"/>
      <c r="J249" s="145"/>
      <c r="K249" s="145"/>
      <c r="L249" s="148"/>
      <c r="M249" s="155"/>
      <c r="N249" s="144"/>
      <c r="O249" s="144"/>
      <c r="P249" s="144"/>
      <c r="Q249" s="145"/>
      <c r="R249" s="145"/>
      <c r="S249" s="148"/>
      <c r="T249" s="147"/>
      <c r="U249" s="144"/>
      <c r="V249" s="144"/>
    </row>
    <row r="250" spans="1:22" ht="14" x14ac:dyDescent="0.15">
      <c r="A250" s="144"/>
      <c r="B250" s="144"/>
      <c r="C250" s="145"/>
      <c r="D250" s="145"/>
      <c r="E250" s="148"/>
      <c r="F250" s="147"/>
      <c r="G250" s="144"/>
      <c r="H250" s="144"/>
      <c r="I250" s="144"/>
      <c r="J250" s="145"/>
      <c r="K250" s="145"/>
      <c r="L250" s="148"/>
      <c r="M250" s="155"/>
      <c r="N250" s="144"/>
      <c r="O250" s="144"/>
      <c r="P250" s="144"/>
      <c r="Q250" s="145"/>
      <c r="R250" s="145"/>
      <c r="S250" s="148"/>
      <c r="T250" s="147"/>
      <c r="U250" s="144"/>
      <c r="V250" s="144"/>
    </row>
    <row r="251" spans="1:22" ht="14" x14ac:dyDescent="0.15">
      <c r="A251" s="144"/>
      <c r="B251" s="144"/>
      <c r="C251" s="145"/>
      <c r="D251" s="145"/>
      <c r="E251" s="148"/>
      <c r="F251" s="147"/>
      <c r="G251" s="144"/>
      <c r="H251" s="144"/>
      <c r="I251" s="144"/>
      <c r="J251" s="145"/>
      <c r="K251" s="145"/>
      <c r="L251" s="148"/>
      <c r="M251" s="155"/>
      <c r="N251" s="144"/>
      <c r="O251" s="144"/>
      <c r="P251" s="144"/>
      <c r="Q251" s="145"/>
      <c r="R251" s="145"/>
      <c r="S251" s="148"/>
      <c r="T251" s="147"/>
      <c r="U251" s="144"/>
      <c r="V251" s="144"/>
    </row>
    <row r="252" spans="1:22" ht="14" x14ac:dyDescent="0.15">
      <c r="A252" s="144"/>
      <c r="B252" s="144"/>
      <c r="C252" s="145"/>
      <c r="D252" s="145"/>
      <c r="E252" s="148"/>
      <c r="F252" s="147"/>
      <c r="G252" s="144"/>
      <c r="H252" s="144"/>
      <c r="I252" s="144"/>
      <c r="J252" s="145"/>
      <c r="K252" s="145"/>
      <c r="L252" s="148"/>
      <c r="M252" s="155"/>
      <c r="N252" s="144"/>
      <c r="O252" s="144"/>
      <c r="P252" s="144"/>
      <c r="Q252" s="145"/>
      <c r="R252" s="145"/>
      <c r="S252" s="148"/>
      <c r="T252" s="147"/>
      <c r="U252" s="144"/>
      <c r="V252" s="144"/>
    </row>
    <row r="253" spans="1:22" ht="14" x14ac:dyDescent="0.15">
      <c r="A253" s="144"/>
      <c r="B253" s="144"/>
      <c r="C253" s="145"/>
      <c r="D253" s="145"/>
      <c r="E253" s="148"/>
      <c r="F253" s="147"/>
      <c r="G253" s="144"/>
      <c r="H253" s="144"/>
      <c r="I253" s="144"/>
      <c r="J253" s="145"/>
      <c r="K253" s="145"/>
      <c r="L253" s="148"/>
      <c r="M253" s="155"/>
      <c r="N253" s="144"/>
      <c r="O253" s="144"/>
      <c r="P253" s="144"/>
      <c r="Q253" s="145"/>
      <c r="R253" s="145"/>
      <c r="S253" s="148"/>
      <c r="T253" s="147"/>
      <c r="U253" s="144"/>
      <c r="V253" s="144"/>
    </row>
    <row r="254" spans="1:22" ht="14" x14ac:dyDescent="0.15">
      <c r="A254" s="144"/>
      <c r="B254" s="144"/>
      <c r="C254" s="145"/>
      <c r="D254" s="145"/>
      <c r="E254" s="148"/>
      <c r="F254" s="147"/>
      <c r="G254" s="144"/>
      <c r="H254" s="144"/>
      <c r="I254" s="144"/>
      <c r="J254" s="145"/>
      <c r="K254" s="145"/>
      <c r="L254" s="148"/>
      <c r="M254" s="155"/>
      <c r="N254" s="144"/>
      <c r="O254" s="144"/>
      <c r="P254" s="144"/>
      <c r="Q254" s="145"/>
      <c r="R254" s="145"/>
      <c r="S254" s="148"/>
      <c r="T254" s="147"/>
      <c r="U254" s="144"/>
      <c r="V254" s="144"/>
    </row>
    <row r="255" spans="1:22" ht="14" x14ac:dyDescent="0.15">
      <c r="A255" s="144"/>
      <c r="B255" s="144"/>
      <c r="C255" s="145"/>
      <c r="D255" s="145"/>
      <c r="E255" s="148"/>
      <c r="F255" s="147"/>
      <c r="G255" s="144"/>
      <c r="H255" s="144"/>
      <c r="I255" s="144"/>
      <c r="J255" s="145"/>
      <c r="K255" s="145"/>
      <c r="L255" s="148"/>
      <c r="M255" s="155"/>
      <c r="N255" s="144"/>
      <c r="O255" s="144"/>
      <c r="P255" s="144"/>
      <c r="Q255" s="145"/>
      <c r="R255" s="145"/>
      <c r="S255" s="148"/>
      <c r="T255" s="147"/>
      <c r="U255" s="144"/>
      <c r="V255" s="144"/>
    </row>
    <row r="256" spans="1:22" ht="14" x14ac:dyDescent="0.15">
      <c r="A256" s="144"/>
      <c r="B256" s="144"/>
      <c r="C256" s="145"/>
      <c r="D256" s="145"/>
      <c r="E256" s="148"/>
      <c r="F256" s="147"/>
      <c r="G256" s="144"/>
      <c r="H256" s="144"/>
      <c r="I256" s="144"/>
      <c r="J256" s="145"/>
      <c r="K256" s="145"/>
      <c r="L256" s="148"/>
      <c r="M256" s="155"/>
      <c r="N256" s="144"/>
      <c r="O256" s="144"/>
      <c r="P256" s="144"/>
      <c r="Q256" s="145"/>
      <c r="R256" s="145"/>
      <c r="S256" s="148"/>
      <c r="T256" s="147"/>
      <c r="U256" s="144"/>
      <c r="V256" s="144"/>
    </row>
    <row r="257" spans="1:22" ht="14" x14ac:dyDescent="0.15">
      <c r="A257" s="144"/>
      <c r="B257" s="144"/>
      <c r="C257" s="145"/>
      <c r="D257" s="145"/>
      <c r="E257" s="148"/>
      <c r="F257" s="147"/>
      <c r="G257" s="144"/>
      <c r="H257" s="144"/>
      <c r="I257" s="144"/>
      <c r="J257" s="145"/>
      <c r="K257" s="145"/>
      <c r="L257" s="148"/>
      <c r="M257" s="155"/>
      <c r="N257" s="144"/>
      <c r="O257" s="144"/>
      <c r="P257" s="144"/>
      <c r="Q257" s="145"/>
      <c r="R257" s="145"/>
      <c r="S257" s="148"/>
      <c r="T257" s="147"/>
      <c r="U257" s="144"/>
      <c r="V257" s="144"/>
    </row>
    <row r="258" spans="1:22" ht="14" x14ac:dyDescent="0.15">
      <c r="A258" s="144"/>
      <c r="B258" s="144"/>
      <c r="C258" s="145"/>
      <c r="D258" s="145"/>
      <c r="E258" s="148"/>
      <c r="F258" s="147"/>
      <c r="G258" s="144"/>
      <c r="H258" s="144"/>
      <c r="I258" s="144"/>
      <c r="J258" s="145"/>
      <c r="K258" s="145"/>
      <c r="L258" s="148"/>
      <c r="M258" s="155"/>
      <c r="N258" s="144"/>
      <c r="O258" s="144"/>
      <c r="P258" s="144"/>
      <c r="Q258" s="145"/>
      <c r="R258" s="145"/>
      <c r="S258" s="148"/>
      <c r="T258" s="147"/>
      <c r="U258" s="144"/>
      <c r="V258" s="144"/>
    </row>
    <row r="259" spans="1:22" ht="14" x14ac:dyDescent="0.15">
      <c r="A259" s="144"/>
      <c r="B259" s="144"/>
      <c r="C259" s="145"/>
      <c r="D259" s="145"/>
      <c r="E259" s="148"/>
      <c r="F259" s="147"/>
      <c r="G259" s="144"/>
      <c r="H259" s="144"/>
      <c r="I259" s="144"/>
      <c r="J259" s="145"/>
      <c r="K259" s="145"/>
      <c r="L259" s="148"/>
      <c r="M259" s="155"/>
      <c r="N259" s="144"/>
      <c r="O259" s="144"/>
      <c r="P259" s="144"/>
      <c r="Q259" s="145"/>
      <c r="R259" s="145"/>
      <c r="S259" s="148"/>
      <c r="T259" s="147"/>
      <c r="U259" s="144"/>
      <c r="V259" s="144"/>
    </row>
    <row r="260" spans="1:22" ht="14" x14ac:dyDescent="0.15">
      <c r="A260" s="144"/>
      <c r="B260" s="144"/>
      <c r="C260" s="145"/>
      <c r="D260" s="145"/>
      <c r="E260" s="148"/>
      <c r="F260" s="147"/>
      <c r="G260" s="144"/>
      <c r="H260" s="144"/>
      <c r="I260" s="144"/>
      <c r="J260" s="145"/>
      <c r="K260" s="145"/>
      <c r="L260" s="148"/>
      <c r="M260" s="155"/>
      <c r="N260" s="144"/>
      <c r="O260" s="144"/>
      <c r="P260" s="144"/>
      <c r="Q260" s="145"/>
      <c r="R260" s="145"/>
      <c r="S260" s="148"/>
      <c r="T260" s="147"/>
      <c r="U260" s="144"/>
      <c r="V260" s="144"/>
    </row>
    <row r="261" spans="1:22" ht="14" x14ac:dyDescent="0.15">
      <c r="A261" s="144"/>
      <c r="B261" s="144"/>
      <c r="C261" s="145"/>
      <c r="D261" s="145"/>
      <c r="E261" s="148"/>
      <c r="F261" s="147"/>
      <c r="G261" s="144"/>
      <c r="H261" s="144"/>
      <c r="I261" s="144"/>
      <c r="J261" s="145"/>
      <c r="K261" s="145"/>
      <c r="L261" s="148"/>
      <c r="M261" s="155"/>
      <c r="N261" s="144"/>
      <c r="O261" s="144"/>
      <c r="P261" s="144"/>
      <c r="Q261" s="145"/>
      <c r="R261" s="145"/>
      <c r="S261" s="148"/>
      <c r="T261" s="147"/>
      <c r="U261" s="144"/>
      <c r="V261" s="144"/>
    </row>
    <row r="262" spans="1:22" ht="14" x14ac:dyDescent="0.15">
      <c r="A262" s="144"/>
      <c r="B262" s="144"/>
      <c r="C262" s="145"/>
      <c r="D262" s="145"/>
      <c r="E262" s="148"/>
      <c r="F262" s="147"/>
      <c r="G262" s="144"/>
      <c r="H262" s="144"/>
      <c r="I262" s="144"/>
      <c r="J262" s="145"/>
      <c r="K262" s="145"/>
      <c r="L262" s="148"/>
      <c r="M262" s="155"/>
      <c r="N262" s="144"/>
      <c r="O262" s="144"/>
      <c r="P262" s="144"/>
      <c r="Q262" s="145"/>
      <c r="R262" s="145"/>
      <c r="S262" s="148"/>
      <c r="T262" s="147"/>
      <c r="U262" s="144"/>
      <c r="V262" s="144"/>
    </row>
    <row r="263" spans="1:22" ht="14" x14ac:dyDescent="0.15">
      <c r="A263" s="144"/>
      <c r="B263" s="144"/>
      <c r="C263" s="145"/>
      <c r="D263" s="145"/>
      <c r="E263" s="148"/>
      <c r="F263" s="147"/>
      <c r="G263" s="144"/>
      <c r="H263" s="144"/>
      <c r="I263" s="144"/>
      <c r="J263" s="145"/>
      <c r="K263" s="145"/>
      <c r="L263" s="148"/>
      <c r="M263" s="155"/>
      <c r="N263" s="144"/>
      <c r="O263" s="144"/>
      <c r="P263" s="144"/>
      <c r="Q263" s="145"/>
      <c r="R263" s="145"/>
      <c r="S263" s="148"/>
      <c r="T263" s="147"/>
      <c r="U263" s="144"/>
      <c r="V263" s="144"/>
    </row>
    <row r="264" spans="1:22" ht="14" x14ac:dyDescent="0.15">
      <c r="A264" s="144"/>
      <c r="B264" s="144"/>
      <c r="C264" s="145"/>
      <c r="D264" s="145"/>
      <c r="E264" s="148"/>
      <c r="F264" s="147"/>
      <c r="G264" s="144"/>
      <c r="H264" s="144"/>
      <c r="I264" s="144"/>
      <c r="J264" s="145"/>
      <c r="K264" s="145"/>
      <c r="L264" s="148"/>
      <c r="M264" s="155"/>
      <c r="N264" s="144"/>
      <c r="O264" s="144"/>
      <c r="P264" s="144"/>
      <c r="Q264" s="145"/>
      <c r="R264" s="145"/>
      <c r="S264" s="148"/>
      <c r="T264" s="147"/>
      <c r="U264" s="144"/>
      <c r="V264" s="144"/>
    </row>
    <row r="265" spans="1:22" ht="14" x14ac:dyDescent="0.15">
      <c r="A265" s="144"/>
      <c r="B265" s="144"/>
      <c r="C265" s="145"/>
      <c r="D265" s="145"/>
      <c r="E265" s="148"/>
      <c r="F265" s="147"/>
      <c r="G265" s="144"/>
      <c r="H265" s="144"/>
      <c r="I265" s="144"/>
      <c r="J265" s="145"/>
      <c r="K265" s="145"/>
      <c r="L265" s="148"/>
      <c r="M265" s="155"/>
      <c r="N265" s="144"/>
      <c r="O265" s="144"/>
      <c r="P265" s="144"/>
      <c r="Q265" s="145"/>
      <c r="R265" s="145"/>
      <c r="S265" s="148"/>
      <c r="T265" s="147"/>
      <c r="U265" s="144"/>
      <c r="V265" s="144"/>
    </row>
    <row r="266" spans="1:22" ht="14" x14ac:dyDescent="0.15">
      <c r="A266" s="144"/>
      <c r="B266" s="144"/>
      <c r="C266" s="145"/>
      <c r="D266" s="145"/>
      <c r="E266" s="148"/>
      <c r="F266" s="147"/>
      <c r="G266" s="144"/>
      <c r="H266" s="144"/>
      <c r="I266" s="144"/>
      <c r="J266" s="145"/>
      <c r="K266" s="145"/>
      <c r="L266" s="148"/>
      <c r="M266" s="155"/>
      <c r="N266" s="144"/>
      <c r="O266" s="144"/>
      <c r="P266" s="144"/>
      <c r="Q266" s="145"/>
      <c r="R266" s="145"/>
      <c r="S266" s="148"/>
      <c r="T266" s="147"/>
      <c r="U266" s="144"/>
      <c r="V266" s="144"/>
    </row>
    <row r="267" spans="1:22" ht="14" x14ac:dyDescent="0.15">
      <c r="A267" s="144"/>
      <c r="B267" s="144"/>
      <c r="C267" s="145"/>
      <c r="D267" s="145"/>
      <c r="E267" s="148"/>
      <c r="F267" s="147"/>
      <c r="G267" s="144"/>
      <c r="H267" s="144"/>
      <c r="I267" s="144"/>
      <c r="J267" s="145"/>
      <c r="K267" s="145"/>
      <c r="L267" s="148"/>
      <c r="M267" s="155"/>
      <c r="N267" s="144"/>
      <c r="O267" s="144"/>
      <c r="P267" s="144"/>
      <c r="Q267" s="145"/>
      <c r="R267" s="145"/>
      <c r="S267" s="148"/>
      <c r="T267" s="147"/>
      <c r="U267" s="144"/>
      <c r="V267" s="144"/>
    </row>
    <row r="268" spans="1:22" ht="14" x14ac:dyDescent="0.15">
      <c r="A268" s="144"/>
      <c r="B268" s="144"/>
      <c r="C268" s="145"/>
      <c r="D268" s="145"/>
      <c r="E268" s="148"/>
      <c r="F268" s="147"/>
      <c r="G268" s="144"/>
      <c r="H268" s="144"/>
      <c r="I268" s="144"/>
      <c r="J268" s="145"/>
      <c r="K268" s="145"/>
      <c r="L268" s="148"/>
      <c r="M268" s="155"/>
      <c r="N268" s="144"/>
      <c r="O268" s="144"/>
      <c r="P268" s="144"/>
      <c r="Q268" s="145"/>
      <c r="R268" s="145"/>
      <c r="S268" s="148"/>
      <c r="T268" s="147"/>
      <c r="U268" s="144"/>
      <c r="V268" s="144"/>
    </row>
    <row r="269" spans="1:22" ht="14" x14ac:dyDescent="0.15">
      <c r="A269" s="144"/>
      <c r="B269" s="144"/>
      <c r="C269" s="145"/>
      <c r="D269" s="145"/>
      <c r="E269" s="148"/>
      <c r="F269" s="147"/>
      <c r="G269" s="144"/>
      <c r="H269" s="144"/>
      <c r="I269" s="144"/>
      <c r="J269" s="145"/>
      <c r="K269" s="145"/>
      <c r="L269" s="148"/>
      <c r="M269" s="155"/>
      <c r="N269" s="144"/>
      <c r="O269" s="144"/>
      <c r="P269" s="144"/>
      <c r="Q269" s="145"/>
      <c r="R269" s="145"/>
      <c r="S269" s="148"/>
      <c r="T269" s="147"/>
      <c r="U269" s="144"/>
      <c r="V269" s="144"/>
    </row>
    <row r="270" spans="1:22" ht="14" x14ac:dyDescent="0.15">
      <c r="A270" s="144"/>
      <c r="B270" s="144"/>
      <c r="C270" s="145"/>
      <c r="D270" s="145"/>
      <c r="E270" s="148"/>
      <c r="F270" s="147"/>
      <c r="G270" s="144"/>
      <c r="H270" s="144"/>
      <c r="I270" s="144"/>
      <c r="J270" s="145"/>
      <c r="K270" s="145"/>
      <c r="L270" s="148"/>
      <c r="M270" s="155"/>
      <c r="N270" s="144"/>
      <c r="O270" s="144"/>
      <c r="P270" s="144"/>
      <c r="Q270" s="145"/>
      <c r="R270" s="145"/>
      <c r="S270" s="148"/>
      <c r="T270" s="147"/>
      <c r="U270" s="144"/>
      <c r="V270" s="144"/>
    </row>
    <row r="271" spans="1:22" ht="14" x14ac:dyDescent="0.15">
      <c r="A271" s="144"/>
      <c r="B271" s="144"/>
      <c r="C271" s="145"/>
      <c r="D271" s="145"/>
      <c r="E271" s="148"/>
      <c r="F271" s="147"/>
      <c r="G271" s="144"/>
      <c r="H271" s="144"/>
      <c r="I271" s="144"/>
      <c r="J271" s="145"/>
      <c r="K271" s="145"/>
      <c r="L271" s="148"/>
      <c r="M271" s="155"/>
      <c r="N271" s="144"/>
      <c r="O271" s="144"/>
      <c r="P271" s="144"/>
      <c r="Q271" s="145"/>
      <c r="R271" s="145"/>
      <c r="S271" s="148"/>
      <c r="T271" s="147"/>
      <c r="U271" s="144"/>
      <c r="V271" s="144"/>
    </row>
    <row r="272" spans="1:22" ht="14" x14ac:dyDescent="0.15">
      <c r="A272" s="144"/>
      <c r="B272" s="144"/>
      <c r="C272" s="145"/>
      <c r="D272" s="145"/>
      <c r="E272" s="148"/>
      <c r="F272" s="147"/>
      <c r="G272" s="144"/>
      <c r="H272" s="144"/>
      <c r="I272" s="144"/>
      <c r="J272" s="145"/>
      <c r="K272" s="145"/>
      <c r="L272" s="148"/>
      <c r="M272" s="155"/>
      <c r="N272" s="144"/>
      <c r="O272" s="144"/>
      <c r="P272" s="144"/>
      <c r="Q272" s="145"/>
      <c r="R272" s="145"/>
      <c r="S272" s="148"/>
      <c r="T272" s="147"/>
      <c r="U272" s="144"/>
      <c r="V272" s="144"/>
    </row>
    <row r="273" spans="1:22" ht="14" x14ac:dyDescent="0.15">
      <c r="A273" s="144"/>
      <c r="B273" s="144"/>
      <c r="C273" s="145"/>
      <c r="D273" s="145"/>
      <c r="E273" s="148"/>
      <c r="F273" s="147"/>
      <c r="G273" s="144"/>
      <c r="H273" s="144"/>
      <c r="I273" s="144"/>
      <c r="J273" s="145"/>
      <c r="K273" s="145"/>
      <c r="L273" s="148"/>
      <c r="M273" s="155"/>
      <c r="N273" s="144"/>
      <c r="O273" s="144"/>
      <c r="P273" s="144"/>
      <c r="Q273" s="145"/>
      <c r="R273" s="145"/>
      <c r="S273" s="148"/>
      <c r="T273" s="147"/>
      <c r="U273" s="144"/>
      <c r="V273" s="144"/>
    </row>
    <row r="274" spans="1:22" ht="14" x14ac:dyDescent="0.15">
      <c r="A274" s="144"/>
      <c r="B274" s="144"/>
      <c r="C274" s="145"/>
      <c r="D274" s="145"/>
      <c r="E274" s="148"/>
      <c r="F274" s="147"/>
      <c r="G274" s="144"/>
      <c r="H274" s="144"/>
      <c r="I274" s="144"/>
      <c r="J274" s="145"/>
      <c r="K274" s="145"/>
      <c r="L274" s="148"/>
      <c r="M274" s="155"/>
      <c r="N274" s="144"/>
      <c r="O274" s="144"/>
      <c r="P274" s="144"/>
      <c r="Q274" s="145"/>
      <c r="R274" s="145"/>
      <c r="S274" s="148"/>
      <c r="T274" s="147"/>
      <c r="U274" s="144"/>
      <c r="V274" s="144"/>
    </row>
    <row r="275" spans="1:22" ht="14" x14ac:dyDescent="0.15">
      <c r="A275" s="144"/>
      <c r="B275" s="144"/>
      <c r="C275" s="145"/>
      <c r="D275" s="145"/>
      <c r="E275" s="148"/>
      <c r="F275" s="147"/>
      <c r="G275" s="144"/>
      <c r="H275" s="144"/>
      <c r="I275" s="144"/>
      <c r="J275" s="145"/>
      <c r="K275" s="145"/>
      <c r="L275" s="148"/>
      <c r="M275" s="155"/>
      <c r="N275" s="144"/>
      <c r="O275" s="144"/>
      <c r="P275" s="144"/>
      <c r="Q275" s="145"/>
      <c r="R275" s="145"/>
      <c r="S275" s="148"/>
      <c r="T275" s="147"/>
      <c r="U275" s="144"/>
      <c r="V275" s="144"/>
    </row>
    <row r="276" spans="1:22" ht="14" x14ac:dyDescent="0.15">
      <c r="A276" s="144"/>
      <c r="B276" s="144"/>
      <c r="C276" s="145"/>
      <c r="D276" s="145"/>
      <c r="E276" s="148"/>
      <c r="F276" s="147"/>
      <c r="G276" s="144"/>
      <c r="H276" s="144"/>
      <c r="I276" s="144"/>
      <c r="J276" s="145"/>
      <c r="K276" s="145"/>
      <c r="L276" s="148"/>
      <c r="M276" s="155"/>
      <c r="N276" s="144"/>
      <c r="O276" s="144"/>
      <c r="P276" s="144"/>
      <c r="Q276" s="145"/>
      <c r="R276" s="145"/>
      <c r="S276" s="148"/>
      <c r="T276" s="147"/>
      <c r="U276" s="144"/>
      <c r="V276" s="144"/>
    </row>
    <row r="277" spans="1:22" ht="14" x14ac:dyDescent="0.15">
      <c r="A277" s="144"/>
      <c r="B277" s="144"/>
      <c r="C277" s="145"/>
      <c r="D277" s="145"/>
      <c r="E277" s="148"/>
      <c r="F277" s="147"/>
      <c r="G277" s="144"/>
      <c r="H277" s="144"/>
      <c r="I277" s="144"/>
      <c r="J277" s="145"/>
      <c r="K277" s="145"/>
      <c r="L277" s="148"/>
      <c r="M277" s="155"/>
      <c r="N277" s="144"/>
      <c r="O277" s="144"/>
      <c r="P277" s="144"/>
      <c r="Q277" s="145"/>
      <c r="R277" s="145"/>
      <c r="S277" s="148"/>
      <c r="T277" s="147"/>
      <c r="U277" s="144"/>
      <c r="V277" s="144"/>
    </row>
    <row r="278" spans="1:22" ht="14" x14ac:dyDescent="0.15">
      <c r="A278" s="144"/>
      <c r="B278" s="144"/>
      <c r="C278" s="145"/>
      <c r="D278" s="145"/>
      <c r="E278" s="148"/>
      <c r="F278" s="147"/>
      <c r="G278" s="144"/>
      <c r="H278" s="144"/>
      <c r="I278" s="144"/>
      <c r="J278" s="145"/>
      <c r="K278" s="145"/>
      <c r="L278" s="148"/>
      <c r="M278" s="155"/>
      <c r="N278" s="144"/>
      <c r="O278" s="144"/>
      <c r="P278" s="144"/>
      <c r="Q278" s="145"/>
      <c r="R278" s="145"/>
      <c r="S278" s="148"/>
      <c r="T278" s="147"/>
      <c r="U278" s="144"/>
      <c r="V278" s="144"/>
    </row>
    <row r="279" spans="1:22" ht="14" x14ac:dyDescent="0.15">
      <c r="A279" s="144"/>
      <c r="B279" s="144"/>
      <c r="C279" s="145"/>
      <c r="D279" s="145"/>
      <c r="E279" s="148"/>
      <c r="F279" s="147"/>
      <c r="G279" s="144"/>
      <c r="H279" s="144"/>
      <c r="I279" s="144"/>
      <c r="J279" s="145"/>
      <c r="K279" s="145"/>
      <c r="L279" s="148"/>
      <c r="M279" s="155"/>
      <c r="N279" s="144"/>
      <c r="O279" s="144"/>
      <c r="P279" s="144"/>
      <c r="Q279" s="145"/>
      <c r="R279" s="145"/>
      <c r="S279" s="148"/>
      <c r="T279" s="147"/>
      <c r="U279" s="144"/>
      <c r="V279" s="144"/>
    </row>
    <row r="280" spans="1:22" ht="14" x14ac:dyDescent="0.15">
      <c r="A280" s="144"/>
      <c r="B280" s="144"/>
      <c r="C280" s="145"/>
      <c r="D280" s="145"/>
      <c r="E280" s="148"/>
      <c r="F280" s="147"/>
      <c r="G280" s="144"/>
      <c r="H280" s="144"/>
      <c r="I280" s="144"/>
      <c r="J280" s="145"/>
      <c r="K280" s="145"/>
      <c r="L280" s="148"/>
      <c r="M280" s="155"/>
      <c r="N280" s="144"/>
      <c r="O280" s="144"/>
      <c r="P280" s="144"/>
      <c r="Q280" s="145"/>
      <c r="R280" s="145"/>
      <c r="S280" s="148"/>
      <c r="T280" s="147"/>
      <c r="U280" s="144"/>
      <c r="V280" s="144"/>
    </row>
    <row r="281" spans="1:22" ht="14" x14ac:dyDescent="0.15">
      <c r="A281" s="144"/>
      <c r="B281" s="144"/>
      <c r="C281" s="145"/>
      <c r="D281" s="145"/>
      <c r="E281" s="148"/>
      <c r="F281" s="147"/>
      <c r="G281" s="144"/>
      <c r="H281" s="144"/>
      <c r="I281" s="144"/>
      <c r="J281" s="145"/>
      <c r="K281" s="145"/>
      <c r="L281" s="148"/>
      <c r="M281" s="155"/>
      <c r="N281" s="144"/>
      <c r="O281" s="144"/>
      <c r="P281" s="144"/>
      <c r="Q281" s="145"/>
      <c r="R281" s="145"/>
      <c r="S281" s="148"/>
      <c r="T281" s="147"/>
      <c r="U281" s="144"/>
      <c r="V281" s="144"/>
    </row>
    <row r="282" spans="1:22" ht="14" x14ac:dyDescent="0.15">
      <c r="A282" s="144"/>
      <c r="B282" s="144"/>
      <c r="C282" s="145"/>
      <c r="D282" s="145"/>
      <c r="E282" s="148"/>
      <c r="F282" s="147"/>
      <c r="G282" s="144"/>
      <c r="H282" s="144"/>
      <c r="I282" s="144"/>
      <c r="J282" s="145"/>
      <c r="K282" s="145"/>
      <c r="L282" s="148"/>
      <c r="M282" s="155"/>
      <c r="N282" s="144"/>
      <c r="O282" s="144"/>
      <c r="P282" s="144"/>
      <c r="Q282" s="145"/>
      <c r="R282" s="145"/>
      <c r="S282" s="148"/>
      <c r="T282" s="147"/>
      <c r="U282" s="144"/>
      <c r="V282" s="144"/>
    </row>
    <row r="283" spans="1:22" ht="14" x14ac:dyDescent="0.15">
      <c r="A283" s="144"/>
      <c r="B283" s="144"/>
      <c r="C283" s="145"/>
      <c r="D283" s="145"/>
      <c r="E283" s="148"/>
      <c r="F283" s="147"/>
      <c r="G283" s="144"/>
      <c r="H283" s="144"/>
      <c r="I283" s="144"/>
      <c r="J283" s="145"/>
      <c r="K283" s="145"/>
      <c r="L283" s="148"/>
      <c r="M283" s="155"/>
      <c r="N283" s="144"/>
      <c r="O283" s="144"/>
      <c r="P283" s="144"/>
      <c r="Q283" s="145"/>
      <c r="R283" s="145"/>
      <c r="S283" s="148"/>
      <c r="T283" s="147"/>
      <c r="U283" s="144"/>
      <c r="V283" s="144"/>
    </row>
    <row r="284" spans="1:22" ht="14" x14ac:dyDescent="0.15">
      <c r="A284" s="144"/>
      <c r="B284" s="144"/>
      <c r="C284" s="145"/>
      <c r="D284" s="145"/>
      <c r="E284" s="148"/>
      <c r="F284" s="147"/>
      <c r="G284" s="144"/>
      <c r="H284" s="144"/>
      <c r="I284" s="144"/>
      <c r="J284" s="145"/>
      <c r="K284" s="145"/>
      <c r="L284" s="148"/>
      <c r="M284" s="155"/>
      <c r="N284" s="144"/>
      <c r="O284" s="144"/>
      <c r="P284" s="144"/>
      <c r="Q284" s="145"/>
      <c r="R284" s="145"/>
      <c r="S284" s="148"/>
      <c r="T284" s="147"/>
      <c r="U284" s="144"/>
      <c r="V284" s="144"/>
    </row>
    <row r="285" spans="1:22" ht="14" x14ac:dyDescent="0.15">
      <c r="A285" s="144"/>
      <c r="B285" s="144"/>
      <c r="C285" s="145"/>
      <c r="D285" s="145"/>
      <c r="E285" s="148"/>
      <c r="F285" s="147"/>
      <c r="G285" s="144"/>
      <c r="H285" s="144"/>
      <c r="I285" s="144"/>
      <c r="J285" s="145"/>
      <c r="K285" s="145"/>
      <c r="L285" s="148"/>
      <c r="M285" s="155"/>
      <c r="N285" s="144"/>
      <c r="O285" s="144"/>
      <c r="P285" s="144"/>
      <c r="Q285" s="145"/>
      <c r="R285" s="145"/>
      <c r="S285" s="148"/>
      <c r="T285" s="147"/>
      <c r="U285" s="144"/>
      <c r="V285" s="144"/>
    </row>
    <row r="286" spans="1:22" ht="14" x14ac:dyDescent="0.15">
      <c r="A286" s="144"/>
      <c r="B286" s="144"/>
      <c r="C286" s="145"/>
      <c r="D286" s="145"/>
      <c r="E286" s="148"/>
      <c r="F286" s="147"/>
      <c r="G286" s="144"/>
      <c r="H286" s="144"/>
      <c r="I286" s="144"/>
      <c r="J286" s="145"/>
      <c r="K286" s="145"/>
      <c r="L286" s="148"/>
      <c r="M286" s="155"/>
      <c r="N286" s="144"/>
      <c r="O286" s="144"/>
      <c r="P286" s="144"/>
      <c r="Q286" s="145"/>
      <c r="R286" s="145"/>
      <c r="S286" s="148"/>
      <c r="T286" s="147"/>
      <c r="U286" s="144"/>
      <c r="V286" s="144"/>
    </row>
    <row r="287" spans="1:22" ht="14" x14ac:dyDescent="0.15">
      <c r="A287" s="144"/>
      <c r="B287" s="144"/>
      <c r="C287" s="145"/>
      <c r="D287" s="145"/>
      <c r="E287" s="148"/>
      <c r="F287" s="147"/>
      <c r="G287" s="144"/>
      <c r="H287" s="144"/>
      <c r="I287" s="144"/>
      <c r="J287" s="145"/>
      <c r="K287" s="145"/>
      <c r="L287" s="148"/>
      <c r="M287" s="155"/>
      <c r="N287" s="144"/>
      <c r="O287" s="144"/>
      <c r="P287" s="144"/>
      <c r="Q287" s="145"/>
      <c r="R287" s="145"/>
      <c r="S287" s="148"/>
      <c r="T287" s="147"/>
      <c r="U287" s="144"/>
      <c r="V287" s="144"/>
    </row>
    <row r="288" spans="1:22" ht="14" x14ac:dyDescent="0.15">
      <c r="A288" s="144"/>
      <c r="B288" s="144"/>
      <c r="C288" s="145"/>
      <c r="D288" s="145"/>
      <c r="E288" s="148"/>
      <c r="F288" s="147"/>
      <c r="G288" s="144"/>
      <c r="H288" s="144"/>
      <c r="I288" s="144"/>
      <c r="J288" s="145"/>
      <c r="K288" s="145"/>
      <c r="L288" s="148"/>
      <c r="M288" s="155"/>
      <c r="N288" s="144"/>
      <c r="O288" s="144"/>
      <c r="P288" s="144"/>
      <c r="Q288" s="145"/>
      <c r="R288" s="145"/>
      <c r="S288" s="148"/>
      <c r="T288" s="147"/>
      <c r="U288" s="144"/>
      <c r="V288" s="144"/>
    </row>
    <row r="289" spans="1:22" ht="14" x14ac:dyDescent="0.15">
      <c r="A289" s="144"/>
      <c r="B289" s="144"/>
      <c r="C289" s="145"/>
      <c r="D289" s="145"/>
      <c r="E289" s="148"/>
      <c r="F289" s="147"/>
      <c r="G289" s="144"/>
      <c r="H289" s="144"/>
      <c r="I289" s="144"/>
      <c r="J289" s="145"/>
      <c r="K289" s="145"/>
      <c r="L289" s="148"/>
      <c r="M289" s="155"/>
      <c r="N289" s="144"/>
      <c r="O289" s="144"/>
      <c r="P289" s="144"/>
      <c r="Q289" s="145"/>
      <c r="R289" s="145"/>
      <c r="S289" s="148"/>
      <c r="T289" s="147"/>
      <c r="U289" s="144"/>
      <c r="V289" s="144"/>
    </row>
    <row r="290" spans="1:22" ht="14" x14ac:dyDescent="0.15">
      <c r="A290" s="144"/>
      <c r="B290" s="144"/>
      <c r="C290" s="145"/>
      <c r="D290" s="145"/>
      <c r="E290" s="148"/>
      <c r="F290" s="147"/>
      <c r="G290" s="144"/>
      <c r="H290" s="144"/>
      <c r="I290" s="144"/>
      <c r="J290" s="145"/>
      <c r="K290" s="145"/>
      <c r="L290" s="148"/>
      <c r="M290" s="155"/>
      <c r="N290" s="144"/>
      <c r="O290" s="144"/>
      <c r="P290" s="144"/>
      <c r="Q290" s="145"/>
      <c r="R290" s="145"/>
      <c r="S290" s="148"/>
      <c r="T290" s="147"/>
      <c r="U290" s="144"/>
      <c r="V290" s="144"/>
    </row>
    <row r="291" spans="1:22" ht="14" x14ac:dyDescent="0.15">
      <c r="A291" s="144"/>
      <c r="B291" s="144"/>
      <c r="C291" s="145"/>
      <c r="D291" s="145"/>
      <c r="E291" s="148"/>
      <c r="F291" s="147"/>
      <c r="G291" s="144"/>
      <c r="H291" s="144"/>
      <c r="I291" s="144"/>
      <c r="J291" s="145"/>
      <c r="K291" s="145"/>
      <c r="L291" s="148"/>
      <c r="M291" s="155"/>
      <c r="N291" s="144"/>
      <c r="O291" s="144"/>
      <c r="P291" s="144"/>
      <c r="Q291" s="145"/>
      <c r="R291" s="145"/>
      <c r="S291" s="148"/>
      <c r="T291" s="147"/>
      <c r="U291" s="144"/>
      <c r="V291" s="144"/>
    </row>
    <row r="292" spans="1:22" ht="14" x14ac:dyDescent="0.15">
      <c r="A292" s="144"/>
      <c r="B292" s="144"/>
      <c r="C292" s="145"/>
      <c r="D292" s="145"/>
      <c r="E292" s="148"/>
      <c r="F292" s="147"/>
      <c r="G292" s="144"/>
      <c r="H292" s="144"/>
      <c r="I292" s="144"/>
      <c r="J292" s="145"/>
      <c r="K292" s="145"/>
      <c r="L292" s="148"/>
      <c r="M292" s="155"/>
      <c r="N292" s="144"/>
      <c r="O292" s="144"/>
      <c r="P292" s="144"/>
      <c r="Q292" s="145"/>
      <c r="R292" s="145"/>
      <c r="S292" s="148"/>
      <c r="T292" s="147"/>
      <c r="U292" s="144"/>
      <c r="V292" s="144"/>
    </row>
    <row r="293" spans="1:22" ht="14" x14ac:dyDescent="0.15">
      <c r="A293" s="144"/>
      <c r="B293" s="144"/>
      <c r="C293" s="145"/>
      <c r="D293" s="145"/>
      <c r="E293" s="148"/>
      <c r="F293" s="147"/>
      <c r="G293" s="144"/>
      <c r="H293" s="144"/>
      <c r="I293" s="144"/>
      <c r="J293" s="145"/>
      <c r="K293" s="145"/>
      <c r="L293" s="148"/>
      <c r="M293" s="155"/>
      <c r="N293" s="144"/>
      <c r="O293" s="144"/>
      <c r="P293" s="144"/>
      <c r="Q293" s="145"/>
      <c r="R293" s="145"/>
      <c r="S293" s="148"/>
      <c r="T293" s="147"/>
      <c r="U293" s="144"/>
      <c r="V293" s="144"/>
    </row>
    <row r="294" spans="1:22" ht="14" x14ac:dyDescent="0.15">
      <c r="A294" s="144"/>
      <c r="B294" s="144"/>
      <c r="C294" s="145"/>
      <c r="D294" s="145"/>
      <c r="E294" s="148"/>
      <c r="F294" s="147"/>
      <c r="G294" s="144"/>
      <c r="H294" s="144"/>
      <c r="I294" s="144"/>
      <c r="J294" s="145"/>
      <c r="K294" s="145"/>
      <c r="L294" s="148"/>
      <c r="M294" s="155"/>
      <c r="N294" s="144"/>
      <c r="O294" s="144"/>
      <c r="P294" s="144"/>
      <c r="Q294" s="145"/>
      <c r="R294" s="145"/>
      <c r="S294" s="148"/>
      <c r="T294" s="147"/>
      <c r="U294" s="144"/>
      <c r="V294" s="144"/>
    </row>
    <row r="295" spans="1:22" ht="14" x14ac:dyDescent="0.15">
      <c r="A295" s="144"/>
      <c r="B295" s="144"/>
      <c r="C295" s="145"/>
      <c r="D295" s="145"/>
      <c r="E295" s="148"/>
      <c r="F295" s="147"/>
      <c r="G295" s="144"/>
      <c r="H295" s="144"/>
      <c r="I295" s="144"/>
      <c r="J295" s="145"/>
      <c r="K295" s="145"/>
      <c r="L295" s="148"/>
      <c r="M295" s="155"/>
      <c r="N295" s="144"/>
      <c r="O295" s="144"/>
      <c r="P295" s="144"/>
      <c r="Q295" s="145"/>
      <c r="R295" s="145"/>
      <c r="S295" s="148"/>
      <c r="T295" s="147"/>
      <c r="U295" s="144"/>
      <c r="V295" s="144"/>
    </row>
    <row r="296" spans="1:22" ht="14" x14ac:dyDescent="0.15">
      <c r="A296" s="144"/>
      <c r="B296" s="144"/>
      <c r="C296" s="145"/>
      <c r="D296" s="145"/>
      <c r="E296" s="148"/>
      <c r="F296" s="147"/>
      <c r="G296" s="144"/>
      <c r="H296" s="144"/>
      <c r="I296" s="144"/>
      <c r="J296" s="145"/>
      <c r="K296" s="145"/>
      <c r="L296" s="148"/>
      <c r="M296" s="155"/>
      <c r="N296" s="144"/>
      <c r="O296" s="144"/>
      <c r="P296" s="144"/>
      <c r="Q296" s="145"/>
      <c r="R296" s="145"/>
      <c r="S296" s="148"/>
      <c r="T296" s="147"/>
      <c r="U296" s="144"/>
      <c r="V296" s="144"/>
    </row>
    <row r="297" spans="1:22" ht="14" x14ac:dyDescent="0.15">
      <c r="A297" s="144"/>
      <c r="B297" s="144"/>
      <c r="C297" s="145"/>
      <c r="D297" s="145"/>
      <c r="E297" s="148"/>
      <c r="F297" s="147"/>
      <c r="G297" s="144"/>
      <c r="H297" s="144"/>
      <c r="I297" s="144"/>
      <c r="J297" s="145"/>
      <c r="K297" s="145"/>
      <c r="L297" s="148"/>
      <c r="M297" s="155"/>
      <c r="N297" s="144"/>
      <c r="O297" s="144"/>
      <c r="P297" s="144"/>
      <c r="Q297" s="145"/>
      <c r="R297" s="145"/>
      <c r="S297" s="148"/>
      <c r="T297" s="147"/>
      <c r="U297" s="144"/>
      <c r="V297" s="144"/>
    </row>
    <row r="298" spans="1:22" ht="14" x14ac:dyDescent="0.15">
      <c r="A298" s="144"/>
      <c r="B298" s="144"/>
      <c r="C298" s="145"/>
      <c r="D298" s="145"/>
      <c r="E298" s="148"/>
      <c r="F298" s="147"/>
      <c r="G298" s="144"/>
      <c r="H298" s="144"/>
      <c r="I298" s="144"/>
      <c r="J298" s="145"/>
      <c r="K298" s="145"/>
      <c r="L298" s="148"/>
      <c r="M298" s="155"/>
      <c r="N298" s="144"/>
      <c r="O298" s="144"/>
      <c r="P298" s="144"/>
      <c r="Q298" s="145"/>
      <c r="R298" s="145"/>
      <c r="S298" s="148"/>
      <c r="T298" s="147"/>
      <c r="U298" s="144"/>
      <c r="V298" s="144"/>
    </row>
    <row r="299" spans="1:22" ht="14" x14ac:dyDescent="0.15">
      <c r="A299" s="144"/>
      <c r="B299" s="144"/>
      <c r="C299" s="145"/>
      <c r="D299" s="145"/>
      <c r="E299" s="148"/>
      <c r="F299" s="147"/>
      <c r="G299" s="144"/>
      <c r="H299" s="144"/>
      <c r="I299" s="144"/>
      <c r="J299" s="145"/>
      <c r="K299" s="145"/>
      <c r="L299" s="148"/>
      <c r="M299" s="155"/>
      <c r="N299" s="144"/>
      <c r="O299" s="144"/>
      <c r="P299" s="144"/>
      <c r="Q299" s="145"/>
      <c r="R299" s="145"/>
      <c r="S299" s="148"/>
      <c r="T299" s="147"/>
      <c r="U299" s="144"/>
      <c r="V299" s="144"/>
    </row>
    <row r="300" spans="1:22" ht="14" x14ac:dyDescent="0.15">
      <c r="A300" s="144"/>
      <c r="B300" s="144"/>
      <c r="C300" s="145"/>
      <c r="D300" s="145"/>
      <c r="E300" s="148"/>
      <c r="F300" s="147"/>
      <c r="G300" s="144"/>
      <c r="H300" s="144"/>
      <c r="I300" s="144"/>
      <c r="J300" s="145"/>
      <c r="K300" s="145"/>
      <c r="L300" s="148"/>
      <c r="M300" s="155"/>
      <c r="N300" s="144"/>
      <c r="O300" s="144"/>
      <c r="P300" s="144"/>
      <c r="Q300" s="145"/>
      <c r="R300" s="145"/>
      <c r="S300" s="148"/>
      <c r="T300" s="147"/>
      <c r="U300" s="144"/>
      <c r="V300" s="144"/>
    </row>
    <row r="301" spans="1:22" ht="14" x14ac:dyDescent="0.15">
      <c r="A301" s="144"/>
      <c r="B301" s="144"/>
      <c r="C301" s="145"/>
      <c r="D301" s="145"/>
      <c r="E301" s="148"/>
      <c r="F301" s="147"/>
      <c r="G301" s="144"/>
      <c r="H301" s="144"/>
      <c r="I301" s="144"/>
      <c r="J301" s="145"/>
      <c r="K301" s="145"/>
      <c r="L301" s="148"/>
      <c r="M301" s="155"/>
      <c r="N301" s="144"/>
      <c r="O301" s="144"/>
      <c r="P301" s="144"/>
      <c r="Q301" s="145"/>
      <c r="R301" s="145"/>
      <c r="S301" s="148"/>
      <c r="T301" s="147"/>
      <c r="U301" s="144"/>
      <c r="V301" s="144"/>
    </row>
    <row r="302" spans="1:22" ht="14" x14ac:dyDescent="0.15">
      <c r="A302" s="144"/>
      <c r="B302" s="144"/>
      <c r="C302" s="145"/>
      <c r="D302" s="145"/>
      <c r="E302" s="148"/>
      <c r="F302" s="147"/>
      <c r="G302" s="144"/>
      <c r="H302" s="144"/>
      <c r="I302" s="144"/>
      <c r="J302" s="145"/>
      <c r="K302" s="145"/>
      <c r="L302" s="148"/>
      <c r="M302" s="155"/>
      <c r="N302" s="144"/>
      <c r="O302" s="144"/>
      <c r="P302" s="144"/>
      <c r="Q302" s="145"/>
      <c r="R302" s="145"/>
      <c r="S302" s="148"/>
      <c r="T302" s="147"/>
      <c r="U302" s="144"/>
      <c r="V302" s="144"/>
    </row>
    <row r="303" spans="1:22" ht="14" x14ac:dyDescent="0.15">
      <c r="A303" s="144"/>
      <c r="B303" s="144"/>
      <c r="C303" s="145"/>
      <c r="D303" s="145"/>
      <c r="E303" s="148"/>
      <c r="F303" s="147"/>
      <c r="G303" s="144"/>
      <c r="H303" s="144"/>
      <c r="I303" s="144"/>
      <c r="J303" s="145"/>
      <c r="K303" s="145"/>
      <c r="L303" s="148"/>
      <c r="M303" s="155"/>
      <c r="N303" s="144"/>
      <c r="O303" s="144"/>
      <c r="P303" s="144"/>
      <c r="Q303" s="145"/>
      <c r="R303" s="145"/>
      <c r="S303" s="148"/>
      <c r="T303" s="147"/>
      <c r="U303" s="144"/>
      <c r="V303" s="144"/>
    </row>
    <row r="304" spans="1:22" ht="14" x14ac:dyDescent="0.15">
      <c r="A304" s="144"/>
      <c r="B304" s="144"/>
      <c r="C304" s="145"/>
      <c r="D304" s="145"/>
      <c r="E304" s="148"/>
      <c r="F304" s="147"/>
      <c r="G304" s="144"/>
      <c r="H304" s="144"/>
      <c r="I304" s="144"/>
      <c r="J304" s="145"/>
      <c r="K304" s="145"/>
      <c r="L304" s="148"/>
      <c r="M304" s="155"/>
      <c r="N304" s="144"/>
      <c r="O304" s="144"/>
      <c r="P304" s="144"/>
      <c r="Q304" s="145"/>
      <c r="R304" s="145"/>
      <c r="S304" s="148"/>
      <c r="T304" s="147"/>
      <c r="U304" s="144"/>
      <c r="V304" s="144"/>
    </row>
    <row r="305" spans="1:22" ht="14" x14ac:dyDescent="0.15">
      <c r="A305" s="144"/>
      <c r="B305" s="144"/>
      <c r="C305" s="145"/>
      <c r="D305" s="145"/>
      <c r="E305" s="148"/>
      <c r="F305" s="147"/>
      <c r="G305" s="144"/>
      <c r="H305" s="144"/>
      <c r="I305" s="144"/>
      <c r="J305" s="145"/>
      <c r="K305" s="145"/>
      <c r="L305" s="148"/>
      <c r="M305" s="155"/>
      <c r="N305" s="144"/>
      <c r="O305" s="144"/>
      <c r="P305" s="144"/>
      <c r="Q305" s="145"/>
      <c r="R305" s="145"/>
      <c r="S305" s="148"/>
      <c r="T305" s="147"/>
      <c r="U305" s="144"/>
      <c r="V305" s="144"/>
    </row>
    <row r="306" spans="1:22" ht="14" x14ac:dyDescent="0.15">
      <c r="A306" s="144"/>
      <c r="B306" s="144"/>
      <c r="C306" s="145"/>
      <c r="D306" s="145"/>
      <c r="E306" s="148"/>
      <c r="F306" s="147"/>
      <c r="G306" s="144"/>
      <c r="H306" s="144"/>
      <c r="I306" s="144"/>
      <c r="J306" s="145"/>
      <c r="K306" s="145"/>
      <c r="L306" s="148"/>
      <c r="M306" s="155"/>
      <c r="N306" s="144"/>
      <c r="O306" s="144"/>
      <c r="P306" s="144"/>
      <c r="Q306" s="145"/>
      <c r="R306" s="145"/>
      <c r="S306" s="148"/>
      <c r="T306" s="147"/>
      <c r="U306" s="144"/>
      <c r="V306" s="144"/>
    </row>
    <row r="307" spans="1:22" ht="14" x14ac:dyDescent="0.15">
      <c r="A307" s="144"/>
      <c r="B307" s="144"/>
      <c r="C307" s="145"/>
      <c r="D307" s="145"/>
      <c r="E307" s="148"/>
      <c r="F307" s="147"/>
      <c r="G307" s="144"/>
      <c r="H307" s="144"/>
      <c r="I307" s="144"/>
      <c r="J307" s="145"/>
      <c r="K307" s="145"/>
      <c r="L307" s="148"/>
      <c r="M307" s="155"/>
      <c r="N307" s="144"/>
      <c r="O307" s="144"/>
      <c r="P307" s="144"/>
      <c r="Q307" s="145"/>
      <c r="R307" s="145"/>
      <c r="S307" s="148"/>
      <c r="T307" s="147"/>
      <c r="U307" s="144"/>
      <c r="V307" s="144"/>
    </row>
    <row r="308" spans="1:22" ht="14" x14ac:dyDescent="0.15">
      <c r="A308" s="144"/>
      <c r="B308" s="144"/>
      <c r="C308" s="145"/>
      <c r="D308" s="145"/>
      <c r="E308" s="148"/>
      <c r="F308" s="147"/>
      <c r="G308" s="144"/>
      <c r="H308" s="144"/>
      <c r="I308" s="144"/>
      <c r="J308" s="145"/>
      <c r="K308" s="145"/>
      <c r="L308" s="148"/>
      <c r="M308" s="155"/>
      <c r="N308" s="144"/>
      <c r="O308" s="144"/>
      <c r="P308" s="144"/>
      <c r="Q308" s="145"/>
      <c r="R308" s="145"/>
      <c r="S308" s="148"/>
      <c r="T308" s="147"/>
      <c r="U308" s="144"/>
      <c r="V308" s="144"/>
    </row>
    <row r="309" spans="1:22" ht="14" x14ac:dyDescent="0.15">
      <c r="A309" s="144"/>
      <c r="B309" s="144"/>
      <c r="C309" s="145"/>
      <c r="D309" s="145"/>
      <c r="E309" s="148"/>
      <c r="F309" s="147"/>
      <c r="G309" s="144"/>
      <c r="H309" s="144"/>
      <c r="I309" s="144"/>
      <c r="J309" s="145"/>
      <c r="K309" s="145"/>
      <c r="L309" s="148"/>
      <c r="M309" s="155"/>
      <c r="N309" s="144"/>
      <c r="O309" s="144"/>
      <c r="P309" s="144"/>
      <c r="Q309" s="145"/>
      <c r="R309" s="145"/>
      <c r="S309" s="148"/>
      <c r="T309" s="147"/>
      <c r="U309" s="144"/>
      <c r="V309" s="144"/>
    </row>
    <row r="310" spans="1:22" ht="14" x14ac:dyDescent="0.15">
      <c r="A310" s="144"/>
      <c r="B310" s="144"/>
      <c r="C310" s="145"/>
      <c r="D310" s="145"/>
      <c r="E310" s="148"/>
      <c r="F310" s="147"/>
      <c r="G310" s="144"/>
      <c r="H310" s="144"/>
      <c r="I310" s="144"/>
      <c r="J310" s="145"/>
      <c r="K310" s="145"/>
      <c r="L310" s="148"/>
      <c r="M310" s="155"/>
      <c r="N310" s="144"/>
      <c r="O310" s="144"/>
      <c r="P310" s="144"/>
      <c r="Q310" s="145"/>
      <c r="R310" s="145"/>
      <c r="S310" s="148"/>
      <c r="T310" s="147"/>
      <c r="U310" s="144"/>
      <c r="V310" s="144"/>
    </row>
    <row r="311" spans="1:22" ht="14" x14ac:dyDescent="0.15">
      <c r="A311" s="144"/>
      <c r="B311" s="144"/>
      <c r="C311" s="145"/>
      <c r="D311" s="145"/>
      <c r="E311" s="148"/>
      <c r="F311" s="147"/>
      <c r="G311" s="144"/>
      <c r="H311" s="144"/>
      <c r="I311" s="144"/>
      <c r="J311" s="145"/>
      <c r="K311" s="145"/>
      <c r="L311" s="148"/>
      <c r="M311" s="155"/>
      <c r="N311" s="144"/>
      <c r="O311" s="144"/>
      <c r="P311" s="144"/>
      <c r="Q311" s="145"/>
      <c r="R311" s="145"/>
      <c r="S311" s="148"/>
      <c r="T311" s="147"/>
      <c r="U311" s="144"/>
      <c r="V311" s="144"/>
    </row>
    <row r="312" spans="1:22" ht="14" x14ac:dyDescent="0.15">
      <c r="A312" s="144"/>
      <c r="B312" s="144"/>
      <c r="C312" s="145"/>
      <c r="D312" s="145"/>
      <c r="E312" s="148"/>
      <c r="F312" s="147"/>
      <c r="G312" s="144"/>
      <c r="H312" s="144"/>
      <c r="I312" s="144"/>
      <c r="J312" s="145"/>
      <c r="K312" s="145"/>
      <c r="L312" s="148"/>
      <c r="M312" s="155"/>
      <c r="N312" s="144"/>
      <c r="O312" s="144"/>
      <c r="P312" s="144"/>
      <c r="Q312" s="145"/>
      <c r="R312" s="145"/>
      <c r="S312" s="148"/>
      <c r="T312" s="147"/>
      <c r="U312" s="144"/>
      <c r="V312" s="144"/>
    </row>
    <row r="313" spans="1:22" ht="14" x14ac:dyDescent="0.15">
      <c r="A313" s="144"/>
      <c r="B313" s="144"/>
      <c r="C313" s="145"/>
      <c r="D313" s="145"/>
      <c r="E313" s="148"/>
      <c r="F313" s="147"/>
      <c r="G313" s="144"/>
      <c r="H313" s="144"/>
      <c r="I313" s="144"/>
      <c r="J313" s="145"/>
      <c r="K313" s="145"/>
      <c r="L313" s="148"/>
      <c r="M313" s="155"/>
      <c r="N313" s="144"/>
      <c r="O313" s="144"/>
      <c r="P313" s="144"/>
      <c r="Q313" s="145"/>
      <c r="R313" s="145"/>
      <c r="S313" s="148"/>
      <c r="T313" s="147"/>
      <c r="U313" s="144"/>
      <c r="V313" s="144"/>
    </row>
    <row r="314" spans="1:22" ht="14" x14ac:dyDescent="0.15">
      <c r="A314" s="144"/>
      <c r="B314" s="144"/>
      <c r="C314" s="145"/>
      <c r="D314" s="145"/>
      <c r="E314" s="148"/>
      <c r="F314" s="147"/>
      <c r="G314" s="144"/>
      <c r="H314" s="144"/>
      <c r="I314" s="144"/>
      <c r="J314" s="145"/>
      <c r="K314" s="145"/>
      <c r="L314" s="148"/>
      <c r="M314" s="155"/>
      <c r="N314" s="144"/>
      <c r="O314" s="144"/>
      <c r="P314" s="144"/>
      <c r="Q314" s="145"/>
      <c r="R314" s="145"/>
      <c r="S314" s="148"/>
      <c r="T314" s="147"/>
      <c r="U314" s="144"/>
      <c r="V314" s="144"/>
    </row>
    <row r="315" spans="1:22" ht="14" x14ac:dyDescent="0.15">
      <c r="A315" s="144"/>
      <c r="B315" s="144"/>
      <c r="C315" s="145"/>
      <c r="D315" s="145"/>
      <c r="E315" s="148"/>
      <c r="F315" s="147"/>
      <c r="G315" s="144"/>
      <c r="H315" s="144"/>
      <c r="I315" s="144"/>
      <c r="J315" s="145"/>
      <c r="K315" s="145"/>
      <c r="L315" s="148"/>
      <c r="M315" s="155"/>
      <c r="N315" s="144"/>
      <c r="O315" s="144"/>
      <c r="P315" s="144"/>
      <c r="Q315" s="145"/>
      <c r="R315" s="145"/>
      <c r="S315" s="148"/>
      <c r="T315" s="147"/>
      <c r="U315" s="144"/>
      <c r="V315" s="144"/>
    </row>
    <row r="316" spans="1:22" ht="14" x14ac:dyDescent="0.15">
      <c r="A316" s="144"/>
      <c r="B316" s="144"/>
      <c r="C316" s="145"/>
      <c r="D316" s="145"/>
      <c r="E316" s="148"/>
      <c r="F316" s="147"/>
      <c r="G316" s="144"/>
      <c r="H316" s="144"/>
      <c r="I316" s="144"/>
      <c r="J316" s="145"/>
      <c r="K316" s="145"/>
      <c r="L316" s="148"/>
      <c r="M316" s="155"/>
      <c r="N316" s="144"/>
      <c r="O316" s="144"/>
      <c r="P316" s="144"/>
      <c r="Q316" s="145"/>
      <c r="R316" s="145"/>
      <c r="S316" s="148"/>
      <c r="T316" s="147"/>
      <c r="U316" s="144"/>
      <c r="V316" s="144"/>
    </row>
    <row r="317" spans="1:22" ht="14" x14ac:dyDescent="0.15">
      <c r="A317" s="144"/>
      <c r="B317" s="144"/>
      <c r="C317" s="145"/>
      <c r="D317" s="145"/>
      <c r="E317" s="148"/>
      <c r="F317" s="147"/>
      <c r="G317" s="144"/>
      <c r="H317" s="144"/>
      <c r="I317" s="144"/>
      <c r="J317" s="145"/>
      <c r="K317" s="145"/>
      <c r="L317" s="148"/>
      <c r="M317" s="155"/>
      <c r="N317" s="144"/>
      <c r="O317" s="144"/>
      <c r="P317" s="144"/>
      <c r="Q317" s="145"/>
      <c r="R317" s="145"/>
      <c r="S317" s="148"/>
      <c r="T317" s="147"/>
      <c r="U317" s="144"/>
      <c r="V317" s="144"/>
    </row>
    <row r="318" spans="1:22" ht="14" x14ac:dyDescent="0.15">
      <c r="A318" s="144"/>
      <c r="B318" s="144"/>
      <c r="C318" s="145"/>
      <c r="D318" s="145"/>
      <c r="E318" s="148"/>
      <c r="F318" s="147"/>
      <c r="G318" s="144"/>
      <c r="H318" s="144"/>
      <c r="I318" s="144"/>
      <c r="J318" s="145"/>
      <c r="K318" s="145"/>
      <c r="L318" s="148"/>
      <c r="M318" s="155"/>
      <c r="N318" s="144"/>
      <c r="O318" s="144"/>
      <c r="P318" s="144"/>
      <c r="Q318" s="145"/>
      <c r="R318" s="145"/>
      <c r="S318" s="148"/>
      <c r="T318" s="147"/>
      <c r="U318" s="144"/>
      <c r="V318" s="144"/>
    </row>
    <row r="319" spans="1:22" ht="14" x14ac:dyDescent="0.15">
      <c r="A319" s="144"/>
      <c r="B319" s="144"/>
      <c r="C319" s="145"/>
      <c r="D319" s="145"/>
      <c r="E319" s="148"/>
      <c r="F319" s="147"/>
      <c r="G319" s="144"/>
      <c r="H319" s="144"/>
      <c r="I319" s="144"/>
      <c r="J319" s="145"/>
      <c r="K319" s="145"/>
      <c r="L319" s="148"/>
      <c r="M319" s="155"/>
      <c r="N319" s="144"/>
      <c r="O319" s="144"/>
      <c r="P319" s="144"/>
      <c r="Q319" s="145"/>
      <c r="R319" s="145"/>
      <c r="S319" s="148"/>
      <c r="T319" s="147"/>
      <c r="U319" s="144"/>
      <c r="V319" s="144"/>
    </row>
    <row r="320" spans="1:22" ht="14" x14ac:dyDescent="0.15">
      <c r="A320" s="144"/>
      <c r="B320" s="144"/>
      <c r="C320" s="145"/>
      <c r="D320" s="145"/>
      <c r="E320" s="148"/>
      <c r="F320" s="147"/>
      <c r="G320" s="144"/>
      <c r="H320" s="144"/>
      <c r="I320" s="144"/>
      <c r="J320" s="145"/>
      <c r="K320" s="145"/>
      <c r="L320" s="148"/>
      <c r="M320" s="155"/>
      <c r="N320" s="144"/>
      <c r="O320" s="144"/>
      <c r="P320" s="144"/>
      <c r="Q320" s="145"/>
      <c r="R320" s="145"/>
      <c r="S320" s="148"/>
      <c r="T320" s="147"/>
      <c r="U320" s="144"/>
      <c r="V320" s="144"/>
    </row>
    <row r="321" spans="1:22" ht="14" x14ac:dyDescent="0.15">
      <c r="A321" s="144"/>
      <c r="B321" s="144"/>
      <c r="C321" s="145"/>
      <c r="D321" s="145"/>
      <c r="E321" s="148"/>
      <c r="F321" s="147"/>
      <c r="G321" s="144"/>
      <c r="H321" s="144"/>
      <c r="I321" s="144"/>
      <c r="J321" s="145"/>
      <c r="K321" s="145"/>
      <c r="L321" s="148"/>
      <c r="M321" s="155"/>
      <c r="N321" s="144"/>
      <c r="O321" s="144"/>
      <c r="P321" s="144"/>
      <c r="Q321" s="145"/>
      <c r="R321" s="145"/>
      <c r="S321" s="148"/>
      <c r="T321" s="147"/>
      <c r="U321" s="144"/>
      <c r="V321" s="144"/>
    </row>
    <row r="322" spans="1:22" ht="14" x14ac:dyDescent="0.15">
      <c r="A322" s="144"/>
      <c r="B322" s="144"/>
      <c r="C322" s="145"/>
      <c r="D322" s="145"/>
      <c r="E322" s="148"/>
      <c r="F322" s="147"/>
      <c r="G322" s="144"/>
      <c r="H322" s="144"/>
      <c r="I322" s="144"/>
      <c r="J322" s="145"/>
      <c r="K322" s="145"/>
      <c r="L322" s="148"/>
      <c r="M322" s="155"/>
      <c r="N322" s="144"/>
      <c r="O322" s="144"/>
      <c r="P322" s="144"/>
      <c r="Q322" s="145"/>
      <c r="R322" s="145"/>
      <c r="S322" s="148"/>
      <c r="T322" s="147"/>
      <c r="U322" s="144"/>
      <c r="V322" s="144"/>
    </row>
    <row r="323" spans="1:22" ht="14" x14ac:dyDescent="0.15">
      <c r="A323" s="144"/>
      <c r="B323" s="144"/>
      <c r="C323" s="145"/>
      <c r="D323" s="145"/>
      <c r="E323" s="148"/>
      <c r="F323" s="147"/>
      <c r="G323" s="144"/>
      <c r="H323" s="144"/>
      <c r="I323" s="144"/>
      <c r="J323" s="145"/>
      <c r="K323" s="145"/>
      <c r="L323" s="148"/>
      <c r="M323" s="155"/>
      <c r="N323" s="144"/>
      <c r="O323" s="144"/>
      <c r="P323" s="144"/>
      <c r="Q323" s="145"/>
      <c r="R323" s="145"/>
      <c r="S323" s="148"/>
      <c r="T323" s="147"/>
      <c r="U323" s="144"/>
      <c r="V323" s="144"/>
    </row>
    <row r="324" spans="1:22" ht="14" x14ac:dyDescent="0.15">
      <c r="A324" s="144"/>
      <c r="B324" s="144"/>
      <c r="C324" s="145"/>
      <c r="D324" s="145"/>
      <c r="E324" s="148"/>
      <c r="F324" s="147"/>
      <c r="G324" s="144"/>
      <c r="H324" s="144"/>
      <c r="I324" s="144"/>
      <c r="J324" s="145"/>
      <c r="K324" s="145"/>
      <c r="L324" s="148"/>
      <c r="M324" s="155"/>
      <c r="N324" s="144"/>
      <c r="O324" s="144"/>
      <c r="P324" s="144"/>
      <c r="Q324" s="145"/>
      <c r="R324" s="145"/>
      <c r="S324" s="148"/>
      <c r="T324" s="147"/>
      <c r="U324" s="144"/>
      <c r="V324" s="144"/>
    </row>
    <row r="325" spans="1:22" ht="14" x14ac:dyDescent="0.15">
      <c r="A325" s="144"/>
      <c r="B325" s="144"/>
      <c r="C325" s="145"/>
      <c r="D325" s="145"/>
      <c r="E325" s="148"/>
      <c r="F325" s="147"/>
      <c r="G325" s="144"/>
      <c r="H325" s="144"/>
      <c r="I325" s="144"/>
      <c r="J325" s="145"/>
      <c r="K325" s="145"/>
      <c r="L325" s="148"/>
      <c r="M325" s="155"/>
      <c r="N325" s="144"/>
      <c r="O325" s="144"/>
      <c r="P325" s="144"/>
      <c r="Q325" s="145"/>
      <c r="R325" s="145"/>
      <c r="S325" s="148"/>
      <c r="T325" s="147"/>
      <c r="U325" s="144"/>
      <c r="V325" s="144"/>
    </row>
    <row r="326" spans="1:22" ht="14" x14ac:dyDescent="0.15">
      <c r="A326" s="144"/>
      <c r="B326" s="144"/>
      <c r="C326" s="145"/>
      <c r="D326" s="145"/>
      <c r="E326" s="148"/>
      <c r="F326" s="147"/>
      <c r="G326" s="144"/>
      <c r="H326" s="144"/>
      <c r="I326" s="144"/>
      <c r="J326" s="145"/>
      <c r="K326" s="145"/>
      <c r="L326" s="148"/>
      <c r="M326" s="155"/>
      <c r="N326" s="144"/>
      <c r="O326" s="144"/>
      <c r="P326" s="144"/>
      <c r="Q326" s="145"/>
      <c r="R326" s="145"/>
      <c r="S326" s="148"/>
      <c r="T326" s="147"/>
      <c r="U326" s="144"/>
      <c r="V326" s="144"/>
    </row>
    <row r="327" spans="1:22" ht="14" x14ac:dyDescent="0.15">
      <c r="A327" s="144"/>
      <c r="B327" s="144"/>
      <c r="C327" s="145"/>
      <c r="D327" s="145"/>
      <c r="E327" s="148"/>
      <c r="F327" s="147"/>
      <c r="G327" s="144"/>
      <c r="H327" s="144"/>
      <c r="I327" s="144"/>
      <c r="J327" s="145"/>
      <c r="K327" s="145"/>
      <c r="L327" s="148"/>
      <c r="M327" s="155"/>
      <c r="N327" s="144"/>
      <c r="O327" s="144"/>
      <c r="P327" s="144"/>
      <c r="Q327" s="145"/>
      <c r="R327" s="145"/>
      <c r="S327" s="148"/>
      <c r="T327" s="147"/>
      <c r="U327" s="144"/>
      <c r="V327" s="144"/>
    </row>
    <row r="328" spans="1:22" ht="14" x14ac:dyDescent="0.15">
      <c r="A328" s="144"/>
      <c r="B328" s="144"/>
      <c r="C328" s="145"/>
      <c r="D328" s="145"/>
      <c r="E328" s="148"/>
      <c r="F328" s="147"/>
      <c r="G328" s="144"/>
      <c r="H328" s="144"/>
      <c r="I328" s="144"/>
      <c r="J328" s="145"/>
      <c r="K328" s="145"/>
      <c r="L328" s="148"/>
      <c r="M328" s="155"/>
      <c r="N328" s="144"/>
      <c r="O328" s="144"/>
      <c r="P328" s="144"/>
      <c r="Q328" s="145"/>
      <c r="R328" s="145"/>
      <c r="S328" s="148"/>
      <c r="T328" s="147"/>
      <c r="U328" s="144"/>
      <c r="V328" s="144"/>
    </row>
    <row r="329" spans="1:22" ht="14" x14ac:dyDescent="0.15">
      <c r="A329" s="144"/>
      <c r="B329" s="144"/>
      <c r="C329" s="145"/>
      <c r="D329" s="145"/>
      <c r="E329" s="148"/>
      <c r="F329" s="147"/>
      <c r="G329" s="144"/>
      <c r="H329" s="144"/>
      <c r="I329" s="144"/>
      <c r="J329" s="145"/>
      <c r="K329" s="145"/>
      <c r="L329" s="148"/>
      <c r="M329" s="155"/>
      <c r="N329" s="144"/>
      <c r="O329" s="144"/>
      <c r="P329" s="144"/>
      <c r="Q329" s="145"/>
      <c r="R329" s="145"/>
      <c r="S329" s="148"/>
      <c r="T329" s="147"/>
      <c r="U329" s="144"/>
      <c r="V329" s="144"/>
    </row>
    <row r="330" spans="1:22" ht="14" x14ac:dyDescent="0.15">
      <c r="A330" s="144"/>
      <c r="B330" s="144"/>
      <c r="C330" s="145"/>
      <c r="D330" s="145"/>
      <c r="E330" s="148"/>
      <c r="F330" s="147"/>
      <c r="G330" s="144"/>
      <c r="H330" s="144"/>
      <c r="I330" s="144"/>
      <c r="J330" s="145"/>
      <c r="K330" s="145"/>
      <c r="L330" s="148"/>
      <c r="M330" s="155"/>
      <c r="N330" s="144"/>
      <c r="O330" s="144"/>
      <c r="P330" s="144"/>
      <c r="Q330" s="145"/>
      <c r="R330" s="145"/>
      <c r="S330" s="148"/>
      <c r="T330" s="147"/>
      <c r="U330" s="144"/>
      <c r="V330" s="144"/>
    </row>
    <row r="331" spans="1:22" ht="14" x14ac:dyDescent="0.15">
      <c r="A331" s="144"/>
      <c r="B331" s="144"/>
      <c r="C331" s="145"/>
      <c r="D331" s="145"/>
      <c r="E331" s="148"/>
      <c r="F331" s="147"/>
      <c r="G331" s="144"/>
      <c r="H331" s="144"/>
      <c r="I331" s="144"/>
      <c r="J331" s="145"/>
      <c r="K331" s="145"/>
      <c r="L331" s="148"/>
      <c r="M331" s="155"/>
      <c r="N331" s="144"/>
      <c r="O331" s="144"/>
      <c r="P331" s="144"/>
      <c r="Q331" s="145"/>
      <c r="R331" s="145"/>
      <c r="S331" s="148"/>
      <c r="T331" s="147"/>
      <c r="U331" s="144"/>
      <c r="V331" s="144"/>
    </row>
    <row r="332" spans="1:22" ht="14" x14ac:dyDescent="0.15">
      <c r="A332" s="144"/>
      <c r="B332" s="144"/>
      <c r="C332" s="145"/>
      <c r="D332" s="145"/>
      <c r="E332" s="148"/>
      <c r="F332" s="147"/>
      <c r="G332" s="144"/>
      <c r="H332" s="144"/>
      <c r="I332" s="144"/>
      <c r="J332" s="145"/>
      <c r="K332" s="145"/>
      <c r="L332" s="148"/>
      <c r="M332" s="155"/>
      <c r="N332" s="144"/>
      <c r="O332" s="144"/>
      <c r="P332" s="144"/>
      <c r="Q332" s="145"/>
      <c r="R332" s="145"/>
      <c r="S332" s="148"/>
      <c r="T332" s="147"/>
      <c r="U332" s="144"/>
      <c r="V332" s="144"/>
    </row>
    <row r="333" spans="1:22" ht="14" x14ac:dyDescent="0.15">
      <c r="A333" s="144"/>
      <c r="B333" s="144"/>
      <c r="C333" s="145"/>
      <c r="D333" s="145"/>
      <c r="E333" s="148"/>
      <c r="F333" s="147"/>
      <c r="G333" s="144"/>
      <c r="H333" s="144"/>
      <c r="I333" s="144"/>
      <c r="J333" s="145"/>
      <c r="K333" s="145"/>
      <c r="L333" s="148"/>
      <c r="M333" s="155"/>
      <c r="N333" s="144"/>
      <c r="O333" s="144"/>
      <c r="P333" s="144"/>
      <c r="Q333" s="145"/>
      <c r="R333" s="145"/>
      <c r="S333" s="148"/>
      <c r="T333" s="147"/>
      <c r="U333" s="144"/>
      <c r="V333" s="144"/>
    </row>
    <row r="334" spans="1:22" ht="14" x14ac:dyDescent="0.15">
      <c r="A334" s="144"/>
      <c r="B334" s="144"/>
      <c r="C334" s="145"/>
      <c r="D334" s="145"/>
      <c r="E334" s="148"/>
      <c r="F334" s="147"/>
      <c r="G334" s="144"/>
      <c r="H334" s="144"/>
      <c r="I334" s="144"/>
      <c r="J334" s="145"/>
      <c r="K334" s="145"/>
      <c r="L334" s="148"/>
      <c r="M334" s="155"/>
      <c r="N334" s="144"/>
      <c r="O334" s="144"/>
      <c r="P334" s="144"/>
      <c r="Q334" s="145"/>
      <c r="R334" s="145"/>
      <c r="S334" s="148"/>
      <c r="T334" s="147"/>
      <c r="U334" s="144"/>
      <c r="V334" s="144"/>
    </row>
    <row r="335" spans="1:22" ht="14" x14ac:dyDescent="0.15">
      <c r="A335" s="144"/>
      <c r="B335" s="144"/>
      <c r="C335" s="145"/>
      <c r="D335" s="145"/>
      <c r="E335" s="148"/>
      <c r="F335" s="147"/>
      <c r="G335" s="144"/>
      <c r="H335" s="144"/>
      <c r="I335" s="144"/>
      <c r="J335" s="145"/>
      <c r="K335" s="145"/>
      <c r="L335" s="148"/>
      <c r="M335" s="155"/>
      <c r="N335" s="144"/>
      <c r="O335" s="144"/>
      <c r="P335" s="144"/>
      <c r="Q335" s="145"/>
      <c r="R335" s="145"/>
      <c r="S335" s="148"/>
      <c r="T335" s="147"/>
      <c r="U335" s="144"/>
      <c r="V335" s="144"/>
    </row>
    <row r="336" spans="1:22" ht="14" x14ac:dyDescent="0.15">
      <c r="A336" s="144"/>
      <c r="B336" s="144"/>
      <c r="C336" s="145"/>
      <c r="D336" s="145"/>
      <c r="E336" s="148"/>
      <c r="F336" s="147"/>
      <c r="G336" s="144"/>
      <c r="H336" s="144"/>
      <c r="I336" s="144"/>
      <c r="J336" s="145"/>
      <c r="K336" s="145"/>
      <c r="L336" s="148"/>
      <c r="M336" s="155"/>
      <c r="N336" s="144"/>
      <c r="O336" s="144"/>
      <c r="P336" s="144"/>
      <c r="Q336" s="145"/>
      <c r="R336" s="145"/>
      <c r="S336" s="148"/>
      <c r="T336" s="147"/>
      <c r="U336" s="144"/>
      <c r="V336" s="144"/>
    </row>
    <row r="337" spans="1:22" ht="14" x14ac:dyDescent="0.15">
      <c r="A337" s="144"/>
      <c r="B337" s="144"/>
      <c r="C337" s="145"/>
      <c r="D337" s="145"/>
      <c r="E337" s="148"/>
      <c r="F337" s="147"/>
      <c r="G337" s="144"/>
      <c r="H337" s="144"/>
      <c r="I337" s="144"/>
      <c r="J337" s="145"/>
      <c r="K337" s="145"/>
      <c r="L337" s="148"/>
      <c r="M337" s="155"/>
      <c r="N337" s="144"/>
      <c r="O337" s="144"/>
      <c r="P337" s="144"/>
      <c r="Q337" s="145"/>
      <c r="R337" s="145"/>
      <c r="S337" s="148"/>
      <c r="T337" s="147"/>
      <c r="U337" s="144"/>
      <c r="V337" s="144"/>
    </row>
    <row r="338" spans="1:22" ht="14" x14ac:dyDescent="0.15">
      <c r="A338" s="144"/>
      <c r="B338" s="144"/>
      <c r="C338" s="145"/>
      <c r="D338" s="145"/>
      <c r="E338" s="148"/>
      <c r="F338" s="147"/>
      <c r="G338" s="144"/>
      <c r="H338" s="144"/>
      <c r="I338" s="144"/>
      <c r="J338" s="145"/>
      <c r="K338" s="145"/>
      <c r="L338" s="148"/>
      <c r="M338" s="155"/>
      <c r="N338" s="144"/>
      <c r="O338" s="144"/>
      <c r="P338" s="144"/>
      <c r="Q338" s="145"/>
      <c r="R338" s="145"/>
      <c r="S338" s="148"/>
      <c r="T338" s="147"/>
      <c r="U338" s="144"/>
      <c r="V338" s="144"/>
    </row>
    <row r="339" spans="1:22" ht="14" x14ac:dyDescent="0.15">
      <c r="A339" s="144"/>
      <c r="B339" s="144"/>
      <c r="C339" s="145"/>
      <c r="D339" s="145"/>
      <c r="E339" s="148"/>
      <c r="F339" s="147"/>
      <c r="G339" s="144"/>
      <c r="H339" s="144"/>
      <c r="I339" s="144"/>
      <c r="J339" s="145"/>
      <c r="K339" s="145"/>
      <c r="L339" s="148"/>
      <c r="M339" s="155"/>
      <c r="N339" s="144"/>
      <c r="O339" s="144"/>
      <c r="P339" s="144"/>
      <c r="Q339" s="145"/>
      <c r="R339" s="145"/>
      <c r="S339" s="148"/>
      <c r="T339" s="147"/>
      <c r="U339" s="144"/>
      <c r="V339" s="144"/>
    </row>
    <row r="340" spans="1:22" ht="14" x14ac:dyDescent="0.15">
      <c r="A340" s="144"/>
      <c r="B340" s="144"/>
      <c r="C340" s="145"/>
      <c r="D340" s="145"/>
      <c r="E340" s="148"/>
      <c r="F340" s="147"/>
      <c r="G340" s="144"/>
      <c r="H340" s="144"/>
      <c r="I340" s="144"/>
      <c r="J340" s="145"/>
      <c r="K340" s="145"/>
      <c r="L340" s="148"/>
      <c r="M340" s="155"/>
      <c r="N340" s="144"/>
      <c r="O340" s="144"/>
      <c r="P340" s="144"/>
      <c r="Q340" s="145"/>
      <c r="R340" s="145"/>
      <c r="S340" s="148"/>
      <c r="T340" s="147"/>
      <c r="U340" s="144"/>
      <c r="V340" s="144"/>
    </row>
    <row r="341" spans="1:22" ht="14" x14ac:dyDescent="0.15">
      <c r="A341" s="144"/>
      <c r="B341" s="144"/>
      <c r="C341" s="145"/>
      <c r="D341" s="145"/>
      <c r="E341" s="148"/>
      <c r="F341" s="147"/>
      <c r="G341" s="144"/>
      <c r="H341" s="144"/>
      <c r="I341" s="144"/>
      <c r="J341" s="145"/>
      <c r="K341" s="145"/>
      <c r="L341" s="148"/>
      <c r="M341" s="155"/>
      <c r="N341" s="144"/>
      <c r="O341" s="144"/>
      <c r="P341" s="144"/>
      <c r="Q341" s="145"/>
      <c r="R341" s="145"/>
      <c r="S341" s="148"/>
      <c r="T341" s="147"/>
      <c r="U341" s="144"/>
      <c r="V341" s="144"/>
    </row>
    <row r="342" spans="1:22" ht="14" x14ac:dyDescent="0.15">
      <c r="A342" s="144"/>
      <c r="B342" s="144"/>
      <c r="C342" s="145"/>
      <c r="D342" s="145"/>
      <c r="E342" s="148"/>
      <c r="F342" s="147"/>
      <c r="G342" s="144"/>
      <c r="H342" s="144"/>
      <c r="I342" s="144"/>
      <c r="J342" s="145"/>
      <c r="K342" s="145"/>
      <c r="L342" s="148"/>
      <c r="M342" s="155"/>
      <c r="N342" s="144"/>
      <c r="O342" s="144"/>
      <c r="P342" s="144"/>
      <c r="Q342" s="145"/>
      <c r="R342" s="145"/>
      <c r="S342" s="148"/>
      <c r="T342" s="147"/>
      <c r="U342" s="144"/>
      <c r="V342" s="144"/>
    </row>
    <row r="343" spans="1:22" ht="14" x14ac:dyDescent="0.15">
      <c r="A343" s="144"/>
      <c r="B343" s="144"/>
      <c r="C343" s="145"/>
      <c r="D343" s="145"/>
      <c r="E343" s="148"/>
      <c r="F343" s="147"/>
      <c r="G343" s="144"/>
      <c r="H343" s="144"/>
      <c r="I343" s="144"/>
      <c r="J343" s="145"/>
      <c r="K343" s="145"/>
      <c r="L343" s="148"/>
      <c r="M343" s="155"/>
      <c r="N343" s="144"/>
      <c r="O343" s="144"/>
      <c r="P343" s="144"/>
      <c r="Q343" s="145"/>
      <c r="R343" s="145"/>
      <c r="S343" s="148"/>
      <c r="T343" s="147"/>
      <c r="U343" s="144"/>
      <c r="V343" s="144"/>
    </row>
    <row r="344" spans="1:22" ht="14" x14ac:dyDescent="0.15">
      <c r="A344" s="144"/>
      <c r="B344" s="144"/>
      <c r="C344" s="145"/>
      <c r="D344" s="145"/>
      <c r="E344" s="148"/>
      <c r="F344" s="147"/>
      <c r="G344" s="144"/>
      <c r="H344" s="144"/>
      <c r="I344" s="144"/>
      <c r="J344" s="145"/>
      <c r="K344" s="145"/>
      <c r="L344" s="148"/>
      <c r="M344" s="155"/>
      <c r="N344" s="144"/>
      <c r="O344" s="144"/>
      <c r="P344" s="144"/>
      <c r="Q344" s="145"/>
      <c r="R344" s="145"/>
      <c r="S344" s="148"/>
      <c r="T344" s="147"/>
      <c r="U344" s="144"/>
      <c r="V344" s="144"/>
    </row>
    <row r="345" spans="1:22" ht="14" x14ac:dyDescent="0.15">
      <c r="A345" s="144"/>
      <c r="B345" s="144"/>
      <c r="C345" s="145"/>
      <c r="D345" s="145"/>
      <c r="E345" s="148"/>
      <c r="F345" s="147"/>
      <c r="G345" s="144"/>
      <c r="H345" s="144"/>
      <c r="I345" s="144"/>
      <c r="J345" s="145"/>
      <c r="K345" s="145"/>
      <c r="L345" s="148"/>
      <c r="M345" s="155"/>
      <c r="N345" s="144"/>
      <c r="O345" s="144"/>
      <c r="P345" s="144"/>
      <c r="Q345" s="145"/>
      <c r="R345" s="145"/>
      <c r="S345" s="148"/>
      <c r="T345" s="147"/>
      <c r="U345" s="144"/>
      <c r="V345" s="144"/>
    </row>
    <row r="346" spans="1:22" ht="14" x14ac:dyDescent="0.15">
      <c r="A346" s="144"/>
      <c r="B346" s="144"/>
      <c r="C346" s="145"/>
      <c r="D346" s="145"/>
      <c r="E346" s="148"/>
      <c r="F346" s="147"/>
      <c r="G346" s="144"/>
      <c r="H346" s="144"/>
      <c r="I346" s="144"/>
      <c r="J346" s="145"/>
      <c r="K346" s="145"/>
      <c r="L346" s="148"/>
      <c r="M346" s="155"/>
      <c r="N346" s="144"/>
      <c r="O346" s="144"/>
      <c r="P346" s="144"/>
      <c r="Q346" s="145"/>
      <c r="R346" s="145"/>
      <c r="S346" s="148"/>
      <c r="T346" s="147"/>
      <c r="U346" s="144"/>
      <c r="V346" s="144"/>
    </row>
    <row r="347" spans="1:22" ht="14" x14ac:dyDescent="0.15">
      <c r="A347" s="144"/>
      <c r="B347" s="144"/>
      <c r="C347" s="145"/>
      <c r="D347" s="145"/>
      <c r="E347" s="148"/>
      <c r="F347" s="147"/>
      <c r="G347" s="144"/>
      <c r="H347" s="144"/>
      <c r="I347" s="144"/>
      <c r="J347" s="145"/>
      <c r="K347" s="145"/>
      <c r="L347" s="148"/>
      <c r="M347" s="155"/>
      <c r="N347" s="144"/>
      <c r="O347" s="144"/>
      <c r="P347" s="144"/>
      <c r="Q347" s="145"/>
      <c r="R347" s="145"/>
      <c r="S347" s="148"/>
      <c r="T347" s="147"/>
      <c r="U347" s="144"/>
      <c r="V347" s="144"/>
    </row>
    <row r="348" spans="1:22" ht="14" x14ac:dyDescent="0.15">
      <c r="A348" s="144"/>
      <c r="B348" s="144"/>
      <c r="C348" s="145"/>
      <c r="D348" s="145"/>
      <c r="E348" s="148"/>
      <c r="F348" s="147"/>
      <c r="G348" s="144"/>
      <c r="H348" s="144"/>
      <c r="I348" s="144"/>
      <c r="J348" s="145"/>
      <c r="K348" s="145"/>
      <c r="L348" s="148"/>
      <c r="M348" s="155"/>
      <c r="N348" s="144"/>
      <c r="O348" s="144"/>
      <c r="P348" s="144"/>
      <c r="Q348" s="145"/>
      <c r="R348" s="145"/>
      <c r="S348" s="148"/>
      <c r="T348" s="147"/>
      <c r="U348" s="144"/>
      <c r="V348" s="144"/>
    </row>
    <row r="349" spans="1:22" ht="14" x14ac:dyDescent="0.15">
      <c r="A349" s="144"/>
      <c r="B349" s="144"/>
      <c r="C349" s="145"/>
      <c r="D349" s="145"/>
      <c r="E349" s="148"/>
      <c r="F349" s="147"/>
      <c r="G349" s="144"/>
      <c r="H349" s="144"/>
      <c r="I349" s="144"/>
      <c r="J349" s="145"/>
      <c r="K349" s="145"/>
      <c r="L349" s="148"/>
      <c r="M349" s="155"/>
      <c r="N349" s="144"/>
      <c r="O349" s="144"/>
      <c r="P349" s="144"/>
      <c r="Q349" s="145"/>
      <c r="R349" s="145"/>
      <c r="S349" s="148"/>
      <c r="T349" s="147"/>
      <c r="U349" s="144"/>
      <c r="V349" s="144"/>
    </row>
    <row r="350" spans="1:22" ht="14" x14ac:dyDescent="0.15">
      <c r="A350" s="144"/>
      <c r="B350" s="144"/>
      <c r="C350" s="145"/>
      <c r="D350" s="145"/>
      <c r="E350" s="148"/>
      <c r="F350" s="147"/>
      <c r="G350" s="144"/>
      <c r="H350" s="144"/>
      <c r="I350" s="144"/>
      <c r="J350" s="145"/>
      <c r="K350" s="145"/>
      <c r="L350" s="148"/>
      <c r="M350" s="155"/>
      <c r="N350" s="144"/>
      <c r="O350" s="144"/>
      <c r="P350" s="144"/>
      <c r="Q350" s="145"/>
      <c r="R350" s="145"/>
      <c r="S350" s="148"/>
      <c r="T350" s="147"/>
      <c r="U350" s="144"/>
      <c r="V350" s="144"/>
    </row>
    <row r="351" spans="1:22" ht="14" x14ac:dyDescent="0.15">
      <c r="A351" s="144"/>
      <c r="B351" s="144"/>
      <c r="C351" s="145"/>
      <c r="D351" s="145"/>
      <c r="E351" s="148"/>
      <c r="F351" s="147"/>
      <c r="G351" s="144"/>
      <c r="H351" s="144"/>
      <c r="I351" s="144"/>
      <c r="J351" s="145"/>
      <c r="K351" s="145"/>
      <c r="L351" s="148"/>
      <c r="M351" s="155"/>
      <c r="N351" s="144"/>
      <c r="O351" s="144"/>
      <c r="P351" s="144"/>
      <c r="Q351" s="145"/>
      <c r="R351" s="145"/>
      <c r="S351" s="148"/>
      <c r="T351" s="147"/>
      <c r="U351" s="144"/>
      <c r="V351" s="144"/>
    </row>
    <row r="352" spans="1:22" ht="14" x14ac:dyDescent="0.15">
      <c r="A352" s="144"/>
      <c r="B352" s="144"/>
      <c r="C352" s="145"/>
      <c r="D352" s="145"/>
      <c r="E352" s="148"/>
      <c r="F352" s="147"/>
      <c r="G352" s="144"/>
      <c r="H352" s="144"/>
      <c r="I352" s="144"/>
      <c r="J352" s="145"/>
      <c r="K352" s="145"/>
      <c r="L352" s="148"/>
      <c r="M352" s="155"/>
      <c r="N352" s="144"/>
      <c r="O352" s="144"/>
      <c r="P352" s="144"/>
      <c r="Q352" s="145"/>
      <c r="R352" s="145"/>
      <c r="S352" s="148"/>
      <c r="T352" s="147"/>
      <c r="U352" s="144"/>
      <c r="V352" s="144"/>
    </row>
    <row r="353" spans="1:22" ht="14" x14ac:dyDescent="0.15">
      <c r="A353" s="144"/>
      <c r="B353" s="144"/>
      <c r="C353" s="145"/>
      <c r="D353" s="145"/>
      <c r="E353" s="148"/>
      <c r="F353" s="147"/>
      <c r="G353" s="144"/>
      <c r="H353" s="144"/>
      <c r="I353" s="144"/>
      <c r="J353" s="145"/>
      <c r="K353" s="145"/>
      <c r="L353" s="148"/>
      <c r="M353" s="155"/>
      <c r="N353" s="144"/>
      <c r="O353" s="144"/>
      <c r="P353" s="144"/>
      <c r="Q353" s="145"/>
      <c r="R353" s="145"/>
      <c r="S353" s="148"/>
      <c r="T353" s="147"/>
      <c r="U353" s="144"/>
      <c r="V353" s="144"/>
    </row>
    <row r="354" spans="1:22" ht="14" x14ac:dyDescent="0.15">
      <c r="A354" s="144"/>
      <c r="B354" s="144"/>
      <c r="C354" s="145"/>
      <c r="D354" s="145"/>
      <c r="E354" s="148"/>
      <c r="F354" s="147"/>
      <c r="G354" s="144"/>
      <c r="H354" s="144"/>
      <c r="I354" s="144"/>
      <c r="J354" s="145"/>
      <c r="K354" s="145"/>
      <c r="L354" s="148"/>
      <c r="M354" s="155"/>
      <c r="N354" s="144"/>
      <c r="O354" s="144"/>
      <c r="P354" s="144"/>
      <c r="Q354" s="145"/>
      <c r="R354" s="145"/>
      <c r="S354" s="148"/>
      <c r="T354" s="147"/>
      <c r="U354" s="144"/>
      <c r="V354" s="144"/>
    </row>
    <row r="355" spans="1:22" ht="14" x14ac:dyDescent="0.15">
      <c r="A355" s="144"/>
      <c r="B355" s="144"/>
      <c r="C355" s="145"/>
      <c r="D355" s="145"/>
      <c r="E355" s="148"/>
      <c r="F355" s="147"/>
      <c r="G355" s="144"/>
      <c r="H355" s="144"/>
      <c r="I355" s="144"/>
      <c r="J355" s="145"/>
      <c r="K355" s="145"/>
      <c r="L355" s="148"/>
      <c r="M355" s="155"/>
      <c r="N355" s="144"/>
      <c r="O355" s="144"/>
      <c r="P355" s="144"/>
      <c r="Q355" s="145"/>
      <c r="R355" s="145"/>
      <c r="S355" s="148"/>
      <c r="T355" s="147"/>
      <c r="U355" s="144"/>
      <c r="V355" s="144"/>
    </row>
    <row r="356" spans="1:22" ht="14" x14ac:dyDescent="0.15">
      <c r="A356" s="144"/>
      <c r="B356" s="144"/>
      <c r="C356" s="145"/>
      <c r="D356" s="145"/>
      <c r="E356" s="148"/>
      <c r="F356" s="147"/>
      <c r="G356" s="144"/>
      <c r="H356" s="144"/>
      <c r="I356" s="144"/>
      <c r="J356" s="145"/>
      <c r="K356" s="145"/>
      <c r="L356" s="148"/>
      <c r="M356" s="155"/>
      <c r="N356" s="144"/>
      <c r="O356" s="144"/>
      <c r="P356" s="144"/>
      <c r="Q356" s="145"/>
      <c r="R356" s="145"/>
      <c r="S356" s="148"/>
      <c r="T356" s="147"/>
      <c r="U356" s="144"/>
      <c r="V356" s="144"/>
    </row>
    <row r="357" spans="1:22" ht="14" x14ac:dyDescent="0.15">
      <c r="A357" s="144"/>
      <c r="B357" s="144"/>
      <c r="C357" s="145"/>
      <c r="D357" s="145"/>
      <c r="E357" s="148"/>
      <c r="F357" s="147"/>
      <c r="G357" s="144"/>
      <c r="H357" s="144"/>
      <c r="I357" s="144"/>
      <c r="J357" s="145"/>
      <c r="K357" s="145"/>
      <c r="L357" s="148"/>
      <c r="M357" s="155"/>
      <c r="N357" s="144"/>
      <c r="O357" s="144"/>
      <c r="P357" s="144"/>
      <c r="Q357" s="145"/>
      <c r="R357" s="145"/>
      <c r="S357" s="148"/>
      <c r="T357" s="147"/>
      <c r="U357" s="144"/>
      <c r="V357" s="144"/>
    </row>
    <row r="358" spans="1:22" ht="14" x14ac:dyDescent="0.15">
      <c r="A358" s="144"/>
      <c r="B358" s="144"/>
      <c r="C358" s="145"/>
      <c r="D358" s="145"/>
      <c r="E358" s="148"/>
      <c r="F358" s="147"/>
      <c r="G358" s="144"/>
      <c r="H358" s="144"/>
      <c r="I358" s="144"/>
      <c r="J358" s="145"/>
      <c r="K358" s="145"/>
      <c r="L358" s="148"/>
      <c r="M358" s="155"/>
      <c r="N358" s="144"/>
      <c r="O358" s="144"/>
      <c r="P358" s="144"/>
      <c r="Q358" s="145"/>
      <c r="R358" s="145"/>
      <c r="S358" s="148"/>
      <c r="T358" s="147"/>
      <c r="U358" s="144"/>
      <c r="V358" s="144"/>
    </row>
    <row r="359" spans="1:22" ht="14" x14ac:dyDescent="0.15">
      <c r="A359" s="144"/>
      <c r="B359" s="144"/>
      <c r="C359" s="145"/>
      <c r="D359" s="145"/>
      <c r="E359" s="148"/>
      <c r="F359" s="147"/>
      <c r="G359" s="144"/>
      <c r="H359" s="144"/>
      <c r="I359" s="144"/>
      <c r="J359" s="145"/>
      <c r="K359" s="145"/>
      <c r="L359" s="148"/>
      <c r="M359" s="155"/>
      <c r="N359" s="144"/>
      <c r="O359" s="144"/>
      <c r="P359" s="144"/>
      <c r="Q359" s="145"/>
      <c r="R359" s="145"/>
      <c r="S359" s="148"/>
      <c r="T359" s="147"/>
      <c r="U359" s="144"/>
      <c r="V359" s="144"/>
    </row>
    <row r="360" spans="1:22" ht="14" x14ac:dyDescent="0.15">
      <c r="A360" s="144"/>
      <c r="B360" s="144"/>
      <c r="C360" s="145"/>
      <c r="D360" s="145"/>
      <c r="E360" s="148"/>
      <c r="F360" s="147"/>
      <c r="G360" s="144"/>
      <c r="H360" s="144"/>
      <c r="I360" s="144"/>
      <c r="J360" s="145"/>
      <c r="K360" s="145"/>
      <c r="L360" s="148"/>
      <c r="M360" s="155"/>
      <c r="N360" s="144"/>
      <c r="O360" s="144"/>
      <c r="P360" s="144"/>
      <c r="Q360" s="145"/>
      <c r="R360" s="145"/>
      <c r="S360" s="148"/>
      <c r="T360" s="147"/>
      <c r="U360" s="144"/>
      <c r="V360" s="144"/>
    </row>
    <row r="361" spans="1:22" ht="14" x14ac:dyDescent="0.15">
      <c r="A361" s="144"/>
      <c r="B361" s="144"/>
      <c r="C361" s="145"/>
      <c r="D361" s="145"/>
      <c r="E361" s="148"/>
      <c r="F361" s="147"/>
      <c r="G361" s="144"/>
      <c r="H361" s="144"/>
      <c r="I361" s="144"/>
      <c r="J361" s="145"/>
      <c r="K361" s="145"/>
      <c r="L361" s="148"/>
      <c r="M361" s="155"/>
      <c r="N361" s="144"/>
      <c r="O361" s="144"/>
      <c r="P361" s="144"/>
      <c r="Q361" s="145"/>
      <c r="R361" s="145"/>
      <c r="S361" s="148"/>
      <c r="T361" s="147"/>
      <c r="U361" s="144"/>
      <c r="V361" s="144"/>
    </row>
    <row r="362" spans="1:22" ht="14" x14ac:dyDescent="0.15">
      <c r="A362" s="144"/>
      <c r="B362" s="144"/>
      <c r="C362" s="145"/>
      <c r="D362" s="145"/>
      <c r="E362" s="148"/>
      <c r="F362" s="147"/>
      <c r="G362" s="144"/>
      <c r="H362" s="144"/>
      <c r="I362" s="144"/>
      <c r="J362" s="145"/>
      <c r="K362" s="145"/>
      <c r="L362" s="148"/>
      <c r="M362" s="155"/>
      <c r="N362" s="144"/>
      <c r="O362" s="144"/>
      <c r="P362" s="144"/>
      <c r="Q362" s="145"/>
      <c r="R362" s="145"/>
      <c r="S362" s="148"/>
      <c r="T362" s="147"/>
      <c r="U362" s="144"/>
      <c r="V362" s="144"/>
    </row>
    <row r="363" spans="1:22" ht="14" x14ac:dyDescent="0.15">
      <c r="A363" s="144"/>
      <c r="B363" s="144"/>
      <c r="C363" s="145"/>
      <c r="D363" s="145"/>
      <c r="E363" s="148"/>
      <c r="F363" s="147"/>
      <c r="G363" s="144"/>
      <c r="H363" s="144"/>
      <c r="I363" s="144"/>
      <c r="J363" s="145"/>
      <c r="K363" s="145"/>
      <c r="L363" s="148"/>
      <c r="M363" s="155"/>
      <c r="N363" s="144"/>
      <c r="O363" s="144"/>
      <c r="P363" s="144"/>
      <c r="Q363" s="145"/>
      <c r="R363" s="145"/>
      <c r="S363" s="148"/>
      <c r="T363" s="147"/>
      <c r="U363" s="144"/>
      <c r="V363" s="144"/>
    </row>
    <row r="364" spans="1:22" ht="14" x14ac:dyDescent="0.15">
      <c r="A364" s="144"/>
      <c r="B364" s="144"/>
      <c r="C364" s="145"/>
      <c r="D364" s="145"/>
      <c r="E364" s="148"/>
      <c r="F364" s="147"/>
      <c r="G364" s="144"/>
      <c r="H364" s="144"/>
      <c r="I364" s="144"/>
      <c r="J364" s="145"/>
      <c r="K364" s="145"/>
      <c r="L364" s="148"/>
      <c r="M364" s="155"/>
      <c r="N364" s="144"/>
      <c r="O364" s="144"/>
      <c r="P364" s="144"/>
      <c r="Q364" s="145"/>
      <c r="R364" s="145"/>
      <c r="S364" s="148"/>
      <c r="T364" s="147"/>
      <c r="U364" s="144"/>
      <c r="V364" s="144"/>
    </row>
    <row r="365" spans="1:22" ht="14" x14ac:dyDescent="0.15">
      <c r="A365" s="144"/>
      <c r="B365" s="144"/>
      <c r="C365" s="145"/>
      <c r="D365" s="145"/>
      <c r="E365" s="148"/>
      <c r="F365" s="147"/>
      <c r="G365" s="144"/>
      <c r="H365" s="144"/>
      <c r="I365" s="144"/>
      <c r="J365" s="145"/>
      <c r="K365" s="145"/>
      <c r="L365" s="148"/>
      <c r="M365" s="155"/>
      <c r="N365" s="144"/>
      <c r="O365" s="144"/>
      <c r="P365" s="144"/>
      <c r="Q365" s="145"/>
      <c r="R365" s="145"/>
      <c r="S365" s="148"/>
      <c r="T365" s="147"/>
      <c r="U365" s="144"/>
      <c r="V365" s="144"/>
    </row>
    <row r="366" spans="1:22" ht="14" x14ac:dyDescent="0.15">
      <c r="A366" s="144"/>
      <c r="B366" s="144"/>
      <c r="C366" s="145"/>
      <c r="D366" s="145"/>
      <c r="E366" s="148"/>
      <c r="F366" s="147"/>
      <c r="G366" s="144"/>
      <c r="H366" s="144"/>
      <c r="I366" s="144"/>
      <c r="J366" s="145"/>
      <c r="K366" s="145"/>
      <c r="L366" s="148"/>
      <c r="M366" s="155"/>
      <c r="N366" s="144"/>
      <c r="O366" s="144"/>
      <c r="P366" s="144"/>
      <c r="Q366" s="145"/>
      <c r="R366" s="145"/>
      <c r="S366" s="148"/>
      <c r="T366" s="147"/>
      <c r="U366" s="144"/>
      <c r="V366" s="144"/>
    </row>
    <row r="367" spans="1:22" ht="14" x14ac:dyDescent="0.15">
      <c r="A367" s="144"/>
      <c r="B367" s="144"/>
      <c r="C367" s="145"/>
      <c r="D367" s="145"/>
      <c r="E367" s="148"/>
      <c r="F367" s="147"/>
      <c r="G367" s="144"/>
      <c r="H367" s="144"/>
      <c r="I367" s="144"/>
      <c r="J367" s="145"/>
      <c r="K367" s="145"/>
      <c r="L367" s="148"/>
      <c r="M367" s="155"/>
      <c r="N367" s="144"/>
      <c r="O367" s="144"/>
      <c r="P367" s="144"/>
      <c r="Q367" s="145"/>
      <c r="R367" s="145"/>
      <c r="S367" s="148"/>
      <c r="T367" s="147"/>
      <c r="U367" s="144"/>
      <c r="V367" s="144"/>
    </row>
    <row r="368" spans="1:22" ht="14" x14ac:dyDescent="0.15">
      <c r="A368" s="144"/>
      <c r="B368" s="144"/>
      <c r="C368" s="145"/>
      <c r="D368" s="145"/>
      <c r="E368" s="148"/>
      <c r="F368" s="147"/>
      <c r="G368" s="144"/>
      <c r="H368" s="144"/>
      <c r="I368" s="144"/>
      <c r="J368" s="145"/>
      <c r="K368" s="145"/>
      <c r="L368" s="148"/>
      <c r="M368" s="155"/>
      <c r="N368" s="144"/>
      <c r="O368" s="144"/>
      <c r="P368" s="144"/>
      <c r="Q368" s="145"/>
      <c r="R368" s="145"/>
      <c r="S368" s="148"/>
      <c r="T368" s="147"/>
      <c r="U368" s="144"/>
      <c r="V368" s="144"/>
    </row>
    <row r="369" spans="1:22" ht="14" x14ac:dyDescent="0.15">
      <c r="A369" s="144"/>
      <c r="B369" s="144"/>
      <c r="C369" s="145"/>
      <c r="D369" s="145"/>
      <c r="E369" s="148"/>
      <c r="F369" s="147"/>
      <c r="G369" s="144"/>
      <c r="H369" s="144"/>
      <c r="I369" s="144"/>
      <c r="J369" s="145"/>
      <c r="K369" s="145"/>
      <c r="L369" s="148"/>
      <c r="M369" s="155"/>
      <c r="N369" s="144"/>
      <c r="O369" s="144"/>
      <c r="P369" s="144"/>
      <c r="Q369" s="145"/>
      <c r="R369" s="145"/>
      <c r="S369" s="148"/>
      <c r="T369" s="147"/>
      <c r="U369" s="144"/>
      <c r="V369" s="144"/>
    </row>
    <row r="370" spans="1:22" ht="14" x14ac:dyDescent="0.15">
      <c r="A370" s="144"/>
      <c r="B370" s="144"/>
      <c r="C370" s="145"/>
      <c r="D370" s="145"/>
      <c r="E370" s="148"/>
      <c r="F370" s="147"/>
      <c r="G370" s="144"/>
      <c r="H370" s="144"/>
      <c r="I370" s="144"/>
      <c r="J370" s="145"/>
      <c r="K370" s="145"/>
      <c r="L370" s="148"/>
      <c r="M370" s="155"/>
      <c r="N370" s="144"/>
      <c r="O370" s="144"/>
      <c r="P370" s="144"/>
      <c r="Q370" s="145"/>
      <c r="R370" s="145"/>
      <c r="S370" s="148"/>
      <c r="T370" s="147"/>
      <c r="U370" s="144"/>
      <c r="V370" s="144"/>
    </row>
    <row r="371" spans="1:22" ht="14" x14ac:dyDescent="0.15">
      <c r="A371" s="144"/>
      <c r="B371" s="144"/>
      <c r="C371" s="145"/>
      <c r="D371" s="145"/>
      <c r="E371" s="148"/>
      <c r="F371" s="147"/>
      <c r="G371" s="144"/>
      <c r="H371" s="144"/>
      <c r="I371" s="144"/>
      <c r="J371" s="145"/>
      <c r="K371" s="145"/>
      <c r="L371" s="148"/>
      <c r="M371" s="155"/>
      <c r="N371" s="144"/>
      <c r="O371" s="144"/>
      <c r="P371" s="144"/>
      <c r="Q371" s="145"/>
      <c r="R371" s="145"/>
      <c r="S371" s="148"/>
      <c r="T371" s="147"/>
      <c r="U371" s="144"/>
      <c r="V371" s="144"/>
    </row>
    <row r="372" spans="1:22" ht="14" x14ac:dyDescent="0.15">
      <c r="A372" s="144"/>
      <c r="B372" s="144"/>
      <c r="C372" s="145"/>
      <c r="D372" s="145"/>
      <c r="E372" s="148"/>
      <c r="F372" s="147"/>
      <c r="G372" s="144"/>
      <c r="H372" s="144"/>
      <c r="I372" s="144"/>
      <c r="J372" s="145"/>
      <c r="K372" s="145"/>
      <c r="L372" s="148"/>
      <c r="M372" s="155"/>
      <c r="N372" s="144"/>
      <c r="O372" s="144"/>
      <c r="P372" s="144"/>
      <c r="Q372" s="145"/>
      <c r="R372" s="145"/>
      <c r="S372" s="148"/>
      <c r="T372" s="147"/>
      <c r="U372" s="144"/>
      <c r="V372" s="144"/>
    </row>
    <row r="373" spans="1:22" ht="14" x14ac:dyDescent="0.15">
      <c r="A373" s="144"/>
      <c r="B373" s="144"/>
      <c r="C373" s="145"/>
      <c r="D373" s="145"/>
      <c r="E373" s="148"/>
      <c r="F373" s="147"/>
      <c r="G373" s="144"/>
      <c r="H373" s="144"/>
      <c r="I373" s="144"/>
      <c r="J373" s="145"/>
      <c r="K373" s="145"/>
      <c r="L373" s="148"/>
      <c r="M373" s="155"/>
      <c r="N373" s="144"/>
      <c r="O373" s="144"/>
      <c r="P373" s="144"/>
      <c r="Q373" s="145"/>
      <c r="R373" s="145"/>
      <c r="S373" s="148"/>
      <c r="T373" s="147"/>
      <c r="U373" s="144"/>
      <c r="V373" s="144"/>
    </row>
    <row r="374" spans="1:22" ht="14" x14ac:dyDescent="0.15">
      <c r="A374" s="144"/>
      <c r="B374" s="144"/>
      <c r="C374" s="145"/>
      <c r="D374" s="145"/>
      <c r="E374" s="148"/>
      <c r="F374" s="147"/>
      <c r="G374" s="144"/>
      <c r="H374" s="144"/>
      <c r="I374" s="144"/>
      <c r="J374" s="145"/>
      <c r="K374" s="145"/>
      <c r="L374" s="148"/>
      <c r="M374" s="155"/>
      <c r="N374" s="144"/>
      <c r="O374" s="144"/>
      <c r="P374" s="144"/>
      <c r="Q374" s="145"/>
      <c r="R374" s="145"/>
      <c r="S374" s="148"/>
      <c r="T374" s="147"/>
      <c r="U374" s="144"/>
      <c r="V374" s="144"/>
    </row>
    <row r="375" spans="1:22" ht="14" x14ac:dyDescent="0.15">
      <c r="A375" s="144"/>
      <c r="B375" s="144"/>
      <c r="C375" s="145"/>
      <c r="D375" s="145"/>
      <c r="E375" s="148"/>
      <c r="F375" s="147"/>
      <c r="G375" s="144"/>
      <c r="H375" s="144"/>
      <c r="I375" s="144"/>
      <c r="J375" s="145"/>
      <c r="K375" s="145"/>
      <c r="L375" s="148"/>
      <c r="M375" s="155"/>
      <c r="N375" s="144"/>
      <c r="O375" s="144"/>
      <c r="P375" s="144"/>
      <c r="Q375" s="145"/>
      <c r="R375" s="145"/>
      <c r="S375" s="148"/>
      <c r="T375" s="147"/>
      <c r="U375" s="144"/>
      <c r="V375" s="144"/>
    </row>
    <row r="376" spans="1:22" ht="14" x14ac:dyDescent="0.15">
      <c r="A376" s="144"/>
      <c r="B376" s="144"/>
      <c r="C376" s="145"/>
      <c r="D376" s="145"/>
      <c r="E376" s="148"/>
      <c r="F376" s="147"/>
      <c r="G376" s="144"/>
      <c r="H376" s="144"/>
      <c r="I376" s="144"/>
      <c r="J376" s="145"/>
      <c r="K376" s="145"/>
      <c r="L376" s="148"/>
      <c r="M376" s="155"/>
      <c r="N376" s="144"/>
      <c r="O376" s="144"/>
      <c r="P376" s="144"/>
      <c r="Q376" s="145"/>
      <c r="R376" s="145"/>
      <c r="S376" s="148"/>
      <c r="T376" s="147"/>
      <c r="U376" s="144"/>
      <c r="V376" s="144"/>
    </row>
    <row r="377" spans="1:22" ht="14" x14ac:dyDescent="0.15">
      <c r="A377" s="144"/>
      <c r="B377" s="144"/>
      <c r="C377" s="145"/>
      <c r="D377" s="145"/>
      <c r="E377" s="148"/>
      <c r="F377" s="147"/>
      <c r="G377" s="144"/>
      <c r="H377" s="144"/>
      <c r="I377" s="144"/>
      <c r="J377" s="145"/>
      <c r="K377" s="145"/>
      <c r="L377" s="148"/>
      <c r="M377" s="155"/>
      <c r="N377" s="144"/>
      <c r="O377" s="144"/>
      <c r="P377" s="144"/>
      <c r="Q377" s="145"/>
      <c r="R377" s="145"/>
      <c r="S377" s="148"/>
      <c r="T377" s="147"/>
      <c r="U377" s="144"/>
      <c r="V377" s="144"/>
    </row>
    <row r="378" spans="1:22" ht="14" x14ac:dyDescent="0.15">
      <c r="A378" s="144"/>
      <c r="B378" s="144"/>
      <c r="C378" s="145"/>
      <c r="D378" s="145"/>
      <c r="E378" s="148"/>
      <c r="F378" s="147"/>
      <c r="G378" s="144"/>
      <c r="H378" s="144"/>
      <c r="I378" s="144"/>
      <c r="J378" s="145"/>
      <c r="K378" s="145"/>
      <c r="L378" s="148"/>
      <c r="M378" s="155"/>
      <c r="N378" s="144"/>
      <c r="O378" s="144"/>
      <c r="P378" s="144"/>
      <c r="Q378" s="145"/>
      <c r="R378" s="145"/>
      <c r="S378" s="148"/>
      <c r="T378" s="147"/>
      <c r="U378" s="144"/>
      <c r="V378" s="144"/>
    </row>
    <row r="379" spans="1:22" ht="14" x14ac:dyDescent="0.15">
      <c r="A379" s="144"/>
      <c r="B379" s="144"/>
      <c r="C379" s="145"/>
      <c r="D379" s="145"/>
      <c r="E379" s="148"/>
      <c r="F379" s="147"/>
      <c r="G379" s="144"/>
      <c r="H379" s="144"/>
      <c r="I379" s="144"/>
      <c r="J379" s="145"/>
      <c r="K379" s="145"/>
      <c r="L379" s="148"/>
      <c r="M379" s="155"/>
      <c r="N379" s="144"/>
      <c r="O379" s="144"/>
      <c r="P379" s="144"/>
      <c r="Q379" s="145"/>
      <c r="R379" s="145"/>
      <c r="S379" s="148"/>
      <c r="T379" s="147"/>
      <c r="U379" s="144"/>
      <c r="V379" s="144"/>
    </row>
    <row r="380" spans="1:22" ht="14" x14ac:dyDescent="0.15">
      <c r="A380" s="144"/>
      <c r="B380" s="144"/>
      <c r="C380" s="145"/>
      <c r="D380" s="145"/>
      <c r="E380" s="148"/>
      <c r="F380" s="147"/>
      <c r="G380" s="144"/>
      <c r="H380" s="144"/>
      <c r="I380" s="144"/>
      <c r="J380" s="145"/>
      <c r="K380" s="145"/>
      <c r="L380" s="148"/>
      <c r="M380" s="155"/>
      <c r="N380" s="144"/>
      <c r="O380" s="144"/>
      <c r="P380" s="144"/>
      <c r="Q380" s="145"/>
      <c r="R380" s="145"/>
      <c r="S380" s="148"/>
      <c r="T380" s="147"/>
      <c r="U380" s="144"/>
      <c r="V380" s="144"/>
    </row>
    <row r="381" spans="1:22" ht="14" x14ac:dyDescent="0.15">
      <c r="A381" s="144"/>
      <c r="B381" s="144"/>
      <c r="C381" s="145"/>
      <c r="D381" s="145"/>
      <c r="E381" s="148"/>
      <c r="F381" s="147"/>
      <c r="G381" s="144"/>
      <c r="H381" s="144"/>
      <c r="I381" s="144"/>
      <c r="J381" s="145"/>
      <c r="K381" s="145"/>
      <c r="L381" s="148"/>
      <c r="M381" s="155"/>
      <c r="N381" s="144"/>
      <c r="O381" s="144"/>
      <c r="P381" s="144"/>
      <c r="Q381" s="145"/>
      <c r="R381" s="145"/>
      <c r="S381" s="148"/>
      <c r="T381" s="147"/>
      <c r="U381" s="144"/>
      <c r="V381" s="144"/>
    </row>
    <row r="382" spans="1:22" ht="14" x14ac:dyDescent="0.15">
      <c r="A382" s="144"/>
      <c r="B382" s="144"/>
      <c r="C382" s="145"/>
      <c r="D382" s="145"/>
      <c r="E382" s="148"/>
      <c r="F382" s="147"/>
      <c r="G382" s="144"/>
      <c r="H382" s="144"/>
      <c r="I382" s="144"/>
      <c r="J382" s="145"/>
      <c r="K382" s="145"/>
      <c r="L382" s="148"/>
      <c r="M382" s="155"/>
      <c r="N382" s="144"/>
      <c r="O382" s="144"/>
      <c r="P382" s="144"/>
      <c r="Q382" s="145"/>
      <c r="R382" s="145"/>
      <c r="S382" s="148"/>
      <c r="T382" s="147"/>
      <c r="U382" s="144"/>
      <c r="V382" s="144"/>
    </row>
    <row r="383" spans="1:22" ht="14" x14ac:dyDescent="0.15">
      <c r="A383" s="144"/>
      <c r="B383" s="144"/>
      <c r="C383" s="145"/>
      <c r="D383" s="145"/>
      <c r="E383" s="148"/>
      <c r="F383" s="147"/>
      <c r="G383" s="144"/>
      <c r="H383" s="144"/>
      <c r="I383" s="144"/>
      <c r="J383" s="145"/>
      <c r="K383" s="145"/>
      <c r="L383" s="148"/>
      <c r="M383" s="155"/>
      <c r="N383" s="144"/>
      <c r="O383" s="144"/>
      <c r="P383" s="144"/>
      <c r="Q383" s="145"/>
      <c r="R383" s="145"/>
      <c r="S383" s="148"/>
      <c r="T383" s="147"/>
      <c r="U383" s="144"/>
      <c r="V383" s="144"/>
    </row>
    <row r="384" spans="1:22" ht="14" x14ac:dyDescent="0.15">
      <c r="A384" s="144"/>
      <c r="B384" s="144"/>
      <c r="C384" s="145"/>
      <c r="D384" s="145"/>
      <c r="E384" s="148"/>
      <c r="F384" s="147"/>
      <c r="G384" s="144"/>
      <c r="H384" s="144"/>
      <c r="I384" s="144"/>
      <c r="J384" s="145"/>
      <c r="K384" s="145"/>
      <c r="L384" s="148"/>
      <c r="M384" s="155"/>
      <c r="N384" s="144"/>
      <c r="O384" s="144"/>
      <c r="P384" s="144"/>
      <c r="Q384" s="145"/>
      <c r="R384" s="145"/>
      <c r="S384" s="148"/>
      <c r="T384" s="147"/>
      <c r="U384" s="144"/>
      <c r="V384" s="144"/>
    </row>
    <row r="385" spans="1:22" ht="14" x14ac:dyDescent="0.15">
      <c r="A385" s="144"/>
      <c r="B385" s="144"/>
      <c r="C385" s="145"/>
      <c r="D385" s="145"/>
      <c r="E385" s="148"/>
      <c r="F385" s="147"/>
      <c r="G385" s="144"/>
      <c r="H385" s="144"/>
      <c r="I385" s="144"/>
      <c r="J385" s="145"/>
      <c r="K385" s="145"/>
      <c r="L385" s="148"/>
      <c r="M385" s="155"/>
      <c r="N385" s="144"/>
      <c r="O385" s="144"/>
      <c r="P385" s="144"/>
      <c r="Q385" s="145"/>
      <c r="R385" s="145"/>
      <c r="S385" s="148"/>
      <c r="T385" s="147"/>
      <c r="U385" s="144"/>
      <c r="V385" s="144"/>
    </row>
    <row r="386" spans="1:22" ht="14" x14ac:dyDescent="0.15">
      <c r="A386" s="144"/>
      <c r="B386" s="144"/>
      <c r="C386" s="145"/>
      <c r="D386" s="145"/>
      <c r="E386" s="148"/>
      <c r="F386" s="147"/>
      <c r="G386" s="144"/>
      <c r="H386" s="144"/>
      <c r="I386" s="144"/>
      <c r="J386" s="145"/>
      <c r="K386" s="145"/>
      <c r="L386" s="148"/>
      <c r="M386" s="155"/>
      <c r="N386" s="144"/>
      <c r="O386" s="144"/>
      <c r="P386" s="144"/>
      <c r="Q386" s="145"/>
      <c r="R386" s="145"/>
      <c r="S386" s="148"/>
      <c r="T386" s="147"/>
      <c r="U386" s="144"/>
      <c r="V386" s="144"/>
    </row>
    <row r="387" spans="1:22" ht="14" x14ac:dyDescent="0.15">
      <c r="A387" s="144"/>
      <c r="B387" s="144"/>
      <c r="C387" s="145"/>
      <c r="D387" s="145"/>
      <c r="E387" s="148"/>
      <c r="F387" s="147"/>
      <c r="G387" s="144"/>
      <c r="H387" s="144"/>
      <c r="I387" s="144"/>
      <c r="J387" s="145"/>
      <c r="K387" s="145"/>
      <c r="L387" s="148"/>
      <c r="M387" s="155"/>
      <c r="N387" s="144"/>
      <c r="O387" s="144"/>
      <c r="P387" s="144"/>
      <c r="Q387" s="145"/>
      <c r="R387" s="145"/>
      <c r="S387" s="148"/>
      <c r="T387" s="147"/>
      <c r="U387" s="144"/>
      <c r="V387" s="144"/>
    </row>
    <row r="388" spans="1:22" ht="14" x14ac:dyDescent="0.15">
      <c r="A388" s="144"/>
      <c r="B388" s="144"/>
      <c r="C388" s="145"/>
      <c r="D388" s="145"/>
      <c r="E388" s="148"/>
      <c r="F388" s="147"/>
      <c r="G388" s="144"/>
      <c r="H388" s="144"/>
      <c r="I388" s="144"/>
      <c r="J388" s="145"/>
      <c r="K388" s="145"/>
      <c r="L388" s="148"/>
      <c r="M388" s="155"/>
      <c r="N388" s="144"/>
      <c r="O388" s="144"/>
      <c r="P388" s="144"/>
      <c r="Q388" s="145"/>
      <c r="R388" s="145"/>
      <c r="S388" s="148"/>
      <c r="T388" s="147"/>
      <c r="U388" s="144"/>
      <c r="V388" s="144"/>
    </row>
    <row r="389" spans="1:22" ht="14" x14ac:dyDescent="0.15">
      <c r="A389" s="144"/>
      <c r="B389" s="144"/>
      <c r="C389" s="145"/>
      <c r="D389" s="145"/>
      <c r="E389" s="148"/>
      <c r="F389" s="147"/>
      <c r="G389" s="144"/>
      <c r="H389" s="144"/>
      <c r="I389" s="144"/>
      <c r="J389" s="145"/>
      <c r="K389" s="145"/>
      <c r="L389" s="148"/>
      <c r="M389" s="155"/>
      <c r="N389" s="144"/>
      <c r="O389" s="144"/>
      <c r="P389" s="144"/>
      <c r="Q389" s="145"/>
      <c r="R389" s="145"/>
      <c r="S389" s="148"/>
      <c r="T389" s="147"/>
      <c r="U389" s="144"/>
      <c r="V389" s="144"/>
    </row>
    <row r="390" spans="1:22" ht="14" x14ac:dyDescent="0.15">
      <c r="A390" s="144"/>
      <c r="B390" s="144"/>
      <c r="C390" s="145"/>
      <c r="D390" s="145"/>
      <c r="E390" s="148"/>
      <c r="F390" s="147"/>
      <c r="G390" s="144"/>
      <c r="H390" s="144"/>
      <c r="I390" s="144"/>
      <c r="J390" s="145"/>
      <c r="K390" s="145"/>
      <c r="L390" s="148"/>
      <c r="M390" s="155"/>
      <c r="N390" s="144"/>
      <c r="O390" s="144"/>
      <c r="P390" s="144"/>
      <c r="Q390" s="145"/>
      <c r="R390" s="145"/>
      <c r="S390" s="148"/>
      <c r="T390" s="147"/>
      <c r="U390" s="144"/>
      <c r="V390" s="144"/>
    </row>
    <row r="391" spans="1:22" ht="14" x14ac:dyDescent="0.15">
      <c r="A391" s="144"/>
      <c r="B391" s="144"/>
      <c r="C391" s="145"/>
      <c r="D391" s="145"/>
      <c r="E391" s="148"/>
      <c r="F391" s="147"/>
      <c r="G391" s="144"/>
      <c r="H391" s="144"/>
      <c r="I391" s="144"/>
      <c r="J391" s="145"/>
      <c r="K391" s="145"/>
      <c r="L391" s="148"/>
      <c r="M391" s="155"/>
      <c r="N391" s="144"/>
      <c r="O391" s="144"/>
      <c r="P391" s="144"/>
      <c r="Q391" s="145"/>
      <c r="R391" s="145"/>
      <c r="S391" s="148"/>
      <c r="T391" s="147"/>
      <c r="U391" s="144"/>
      <c r="V391" s="144"/>
    </row>
    <row r="392" spans="1:22" ht="14" x14ac:dyDescent="0.15">
      <c r="A392" s="144"/>
      <c r="B392" s="144"/>
      <c r="C392" s="145"/>
      <c r="D392" s="145"/>
      <c r="E392" s="148"/>
      <c r="F392" s="147"/>
      <c r="G392" s="144"/>
      <c r="H392" s="144"/>
      <c r="I392" s="144"/>
      <c r="J392" s="145"/>
      <c r="K392" s="145"/>
      <c r="L392" s="148"/>
      <c r="M392" s="155"/>
      <c r="N392" s="144"/>
      <c r="O392" s="144"/>
      <c r="P392" s="144"/>
      <c r="Q392" s="145"/>
      <c r="R392" s="145"/>
      <c r="S392" s="148"/>
      <c r="T392" s="147"/>
      <c r="U392" s="144"/>
      <c r="V392" s="144"/>
    </row>
    <row r="393" spans="1:22" ht="14" x14ac:dyDescent="0.15">
      <c r="A393" s="144"/>
      <c r="B393" s="144"/>
      <c r="C393" s="145"/>
      <c r="D393" s="145"/>
      <c r="E393" s="148"/>
      <c r="F393" s="147"/>
      <c r="G393" s="144"/>
      <c r="H393" s="144"/>
      <c r="I393" s="144"/>
      <c r="J393" s="145"/>
      <c r="K393" s="145"/>
      <c r="L393" s="148"/>
      <c r="M393" s="155"/>
      <c r="N393" s="144"/>
      <c r="O393" s="144"/>
      <c r="P393" s="144"/>
      <c r="Q393" s="145"/>
      <c r="R393" s="145"/>
      <c r="S393" s="148"/>
      <c r="T393" s="147"/>
      <c r="U393" s="144"/>
      <c r="V393" s="144"/>
    </row>
    <row r="394" spans="1:22" ht="14" x14ac:dyDescent="0.15">
      <c r="A394" s="144"/>
      <c r="B394" s="144"/>
      <c r="C394" s="145"/>
      <c r="D394" s="145"/>
      <c r="E394" s="148"/>
      <c r="F394" s="147"/>
      <c r="G394" s="144"/>
      <c r="H394" s="144"/>
      <c r="I394" s="144"/>
      <c r="J394" s="145"/>
      <c r="K394" s="145"/>
      <c r="L394" s="148"/>
      <c r="M394" s="155"/>
      <c r="N394" s="144"/>
      <c r="O394" s="144"/>
      <c r="P394" s="144"/>
      <c r="Q394" s="145"/>
      <c r="R394" s="145"/>
      <c r="S394" s="148"/>
      <c r="T394" s="147"/>
      <c r="U394" s="144"/>
      <c r="V394" s="144"/>
    </row>
    <row r="395" spans="1:22" ht="14" x14ac:dyDescent="0.15">
      <c r="A395" s="144"/>
      <c r="B395" s="144"/>
      <c r="C395" s="145"/>
      <c r="D395" s="145"/>
      <c r="E395" s="148"/>
      <c r="F395" s="147"/>
      <c r="G395" s="144"/>
      <c r="H395" s="144"/>
      <c r="I395" s="144"/>
      <c r="J395" s="145"/>
      <c r="K395" s="145"/>
      <c r="L395" s="148"/>
      <c r="M395" s="155"/>
      <c r="N395" s="144"/>
      <c r="O395" s="144"/>
      <c r="P395" s="144"/>
      <c r="Q395" s="145"/>
      <c r="R395" s="145"/>
      <c r="S395" s="148"/>
      <c r="T395" s="147"/>
      <c r="U395" s="144"/>
      <c r="V395" s="144"/>
    </row>
    <row r="396" spans="1:22" ht="14" x14ac:dyDescent="0.15">
      <c r="A396" s="144"/>
      <c r="B396" s="144"/>
      <c r="C396" s="145"/>
      <c r="D396" s="145"/>
      <c r="E396" s="148"/>
      <c r="F396" s="147"/>
      <c r="G396" s="144"/>
      <c r="H396" s="144"/>
      <c r="I396" s="144"/>
      <c r="J396" s="145"/>
      <c r="K396" s="145"/>
      <c r="L396" s="148"/>
      <c r="M396" s="155"/>
      <c r="N396" s="144"/>
      <c r="O396" s="144"/>
      <c r="P396" s="144"/>
      <c r="Q396" s="145"/>
      <c r="R396" s="145"/>
      <c r="S396" s="148"/>
      <c r="T396" s="147"/>
      <c r="U396" s="144"/>
      <c r="V396" s="144"/>
    </row>
    <row r="397" spans="1:22" ht="14" x14ac:dyDescent="0.15">
      <c r="A397" s="144"/>
      <c r="B397" s="144"/>
      <c r="C397" s="145"/>
      <c r="D397" s="145"/>
      <c r="E397" s="148"/>
      <c r="F397" s="147"/>
      <c r="G397" s="144"/>
      <c r="H397" s="144"/>
      <c r="I397" s="144"/>
      <c r="J397" s="145"/>
      <c r="K397" s="145"/>
      <c r="L397" s="148"/>
      <c r="M397" s="155"/>
      <c r="N397" s="144"/>
      <c r="O397" s="144"/>
      <c r="P397" s="144"/>
      <c r="Q397" s="145"/>
      <c r="R397" s="145"/>
      <c r="S397" s="148"/>
      <c r="T397" s="147"/>
      <c r="U397" s="144"/>
      <c r="V397" s="144"/>
    </row>
    <row r="398" spans="1:22" ht="14" x14ac:dyDescent="0.15">
      <c r="A398" s="144"/>
      <c r="B398" s="144"/>
      <c r="C398" s="145"/>
      <c r="D398" s="145"/>
      <c r="E398" s="148"/>
      <c r="F398" s="147"/>
      <c r="G398" s="144"/>
      <c r="H398" s="144"/>
      <c r="I398" s="144"/>
      <c r="J398" s="145"/>
      <c r="K398" s="145"/>
      <c r="L398" s="148"/>
      <c r="M398" s="155"/>
      <c r="N398" s="144"/>
      <c r="O398" s="144"/>
      <c r="P398" s="144"/>
      <c r="Q398" s="145"/>
      <c r="R398" s="145"/>
      <c r="S398" s="148"/>
      <c r="T398" s="147"/>
      <c r="U398" s="144"/>
      <c r="V398" s="144"/>
    </row>
    <row r="399" spans="1:22" ht="14" x14ac:dyDescent="0.15">
      <c r="A399" s="144"/>
      <c r="B399" s="144"/>
      <c r="C399" s="145"/>
      <c r="D399" s="145"/>
      <c r="E399" s="148"/>
      <c r="F399" s="147"/>
      <c r="G399" s="144"/>
      <c r="H399" s="144"/>
      <c r="I399" s="144"/>
      <c r="J399" s="145"/>
      <c r="K399" s="145"/>
      <c r="L399" s="148"/>
      <c r="M399" s="155"/>
      <c r="N399" s="144"/>
      <c r="O399" s="144"/>
      <c r="P399" s="144"/>
      <c r="Q399" s="145"/>
      <c r="R399" s="145"/>
      <c r="S399" s="148"/>
      <c r="T399" s="147"/>
      <c r="U399" s="144"/>
      <c r="V399" s="144"/>
    </row>
    <row r="400" spans="1:22" ht="14" x14ac:dyDescent="0.15">
      <c r="A400" s="144"/>
      <c r="B400" s="144"/>
      <c r="C400" s="145"/>
      <c r="D400" s="145"/>
      <c r="E400" s="148"/>
      <c r="F400" s="147"/>
      <c r="G400" s="144"/>
      <c r="H400" s="144"/>
      <c r="I400" s="144"/>
      <c r="J400" s="145"/>
      <c r="K400" s="145"/>
      <c r="L400" s="148"/>
      <c r="M400" s="155"/>
      <c r="N400" s="144"/>
      <c r="O400" s="144"/>
      <c r="P400" s="144"/>
      <c r="Q400" s="145"/>
      <c r="R400" s="145"/>
      <c r="S400" s="148"/>
      <c r="T400" s="147"/>
      <c r="U400" s="144"/>
      <c r="V400" s="144"/>
    </row>
    <row r="401" spans="1:22" ht="14" x14ac:dyDescent="0.15">
      <c r="A401" s="144"/>
      <c r="B401" s="144"/>
      <c r="C401" s="145"/>
      <c r="D401" s="145"/>
      <c r="E401" s="148"/>
      <c r="F401" s="147"/>
      <c r="G401" s="144"/>
      <c r="H401" s="144"/>
      <c r="I401" s="144"/>
      <c r="J401" s="145"/>
      <c r="K401" s="145"/>
      <c r="L401" s="148"/>
      <c r="M401" s="155"/>
      <c r="N401" s="144"/>
      <c r="O401" s="144"/>
      <c r="P401" s="144"/>
      <c r="Q401" s="145"/>
      <c r="R401" s="145"/>
      <c r="S401" s="148"/>
      <c r="T401" s="147"/>
      <c r="U401" s="144"/>
      <c r="V401" s="144"/>
    </row>
    <row r="402" spans="1:22" ht="14" x14ac:dyDescent="0.15">
      <c r="A402" s="144"/>
      <c r="B402" s="144"/>
      <c r="C402" s="145"/>
      <c r="D402" s="145"/>
      <c r="E402" s="148"/>
      <c r="F402" s="147"/>
      <c r="G402" s="144"/>
      <c r="H402" s="144"/>
      <c r="I402" s="144"/>
      <c r="J402" s="145"/>
      <c r="K402" s="145"/>
      <c r="L402" s="148"/>
      <c r="M402" s="155"/>
      <c r="N402" s="144"/>
      <c r="O402" s="144"/>
      <c r="P402" s="144"/>
      <c r="Q402" s="145"/>
      <c r="R402" s="145"/>
      <c r="S402" s="148"/>
      <c r="T402" s="147"/>
      <c r="U402" s="144"/>
      <c r="V402" s="144"/>
    </row>
    <row r="403" spans="1:22" ht="14" x14ac:dyDescent="0.15">
      <c r="A403" s="144"/>
      <c r="B403" s="144"/>
      <c r="C403" s="145"/>
      <c r="D403" s="145"/>
      <c r="E403" s="148"/>
      <c r="F403" s="147"/>
      <c r="G403" s="144"/>
      <c r="H403" s="144"/>
      <c r="I403" s="144"/>
      <c r="J403" s="145"/>
      <c r="K403" s="145"/>
      <c r="L403" s="148"/>
      <c r="M403" s="155"/>
      <c r="N403" s="144"/>
      <c r="O403" s="144"/>
      <c r="P403" s="144"/>
      <c r="Q403" s="145"/>
      <c r="R403" s="145"/>
      <c r="S403" s="148"/>
      <c r="T403" s="147"/>
      <c r="U403" s="144"/>
      <c r="V403" s="144"/>
    </row>
    <row r="404" spans="1:22" ht="14" x14ac:dyDescent="0.15">
      <c r="A404" s="144"/>
      <c r="B404" s="144"/>
      <c r="C404" s="145"/>
      <c r="D404" s="145"/>
      <c r="E404" s="148"/>
      <c r="F404" s="147"/>
      <c r="G404" s="144"/>
      <c r="H404" s="144"/>
      <c r="I404" s="144"/>
      <c r="J404" s="145"/>
      <c r="K404" s="145"/>
      <c r="L404" s="148"/>
      <c r="M404" s="155"/>
      <c r="N404" s="144"/>
      <c r="O404" s="144"/>
      <c r="P404" s="144"/>
      <c r="Q404" s="145"/>
      <c r="R404" s="145"/>
      <c r="S404" s="148"/>
      <c r="T404" s="147"/>
      <c r="U404" s="144"/>
      <c r="V404" s="144"/>
    </row>
    <row r="405" spans="1:22" ht="14" x14ac:dyDescent="0.15">
      <c r="A405" s="144"/>
      <c r="B405" s="144"/>
      <c r="C405" s="145"/>
      <c r="D405" s="145"/>
      <c r="E405" s="148"/>
      <c r="F405" s="147"/>
      <c r="G405" s="144"/>
      <c r="H405" s="144"/>
      <c r="I405" s="144"/>
      <c r="J405" s="145"/>
      <c r="K405" s="145"/>
      <c r="L405" s="148"/>
      <c r="M405" s="155"/>
      <c r="N405" s="144"/>
      <c r="O405" s="144"/>
      <c r="P405" s="144"/>
      <c r="Q405" s="145"/>
      <c r="R405" s="145"/>
      <c r="S405" s="148"/>
      <c r="T405" s="147"/>
      <c r="U405" s="144"/>
      <c r="V405" s="144"/>
    </row>
    <row r="406" spans="1:22" ht="14" x14ac:dyDescent="0.15">
      <c r="A406" s="144"/>
      <c r="B406" s="144"/>
      <c r="C406" s="145"/>
      <c r="D406" s="145"/>
      <c r="E406" s="148"/>
      <c r="F406" s="147"/>
      <c r="G406" s="144"/>
      <c r="H406" s="144"/>
      <c r="I406" s="144"/>
      <c r="J406" s="145"/>
      <c r="K406" s="145"/>
      <c r="L406" s="148"/>
      <c r="M406" s="155"/>
      <c r="N406" s="144"/>
      <c r="O406" s="144"/>
      <c r="P406" s="144"/>
      <c r="Q406" s="145"/>
      <c r="R406" s="145"/>
      <c r="S406" s="148"/>
      <c r="T406" s="147"/>
      <c r="U406" s="144"/>
      <c r="V406" s="144"/>
    </row>
    <row r="407" spans="1:22" ht="14" x14ac:dyDescent="0.15">
      <c r="A407" s="144"/>
      <c r="B407" s="144"/>
      <c r="C407" s="145"/>
      <c r="D407" s="145"/>
      <c r="E407" s="148"/>
      <c r="F407" s="147"/>
      <c r="G407" s="144"/>
      <c r="H407" s="144"/>
      <c r="I407" s="144"/>
      <c r="J407" s="145"/>
      <c r="K407" s="145"/>
      <c r="L407" s="148"/>
      <c r="M407" s="155"/>
      <c r="N407" s="144"/>
      <c r="O407" s="144"/>
      <c r="P407" s="144"/>
      <c r="Q407" s="145"/>
      <c r="R407" s="145"/>
      <c r="S407" s="148"/>
      <c r="T407" s="147"/>
      <c r="U407" s="144"/>
      <c r="V407" s="144"/>
    </row>
    <row r="408" spans="1:22" ht="14" x14ac:dyDescent="0.15">
      <c r="A408" s="144"/>
      <c r="B408" s="144"/>
      <c r="C408" s="145"/>
      <c r="D408" s="145"/>
      <c r="E408" s="148"/>
      <c r="F408" s="147"/>
      <c r="G408" s="144"/>
      <c r="H408" s="144"/>
      <c r="I408" s="144"/>
      <c r="J408" s="145"/>
      <c r="K408" s="145"/>
      <c r="L408" s="148"/>
      <c r="M408" s="155"/>
      <c r="N408" s="144"/>
      <c r="O408" s="144"/>
      <c r="P408" s="144"/>
      <c r="Q408" s="145"/>
      <c r="R408" s="145"/>
      <c r="S408" s="148"/>
      <c r="T408" s="147"/>
      <c r="U408" s="144"/>
      <c r="V408" s="144"/>
    </row>
    <row r="409" spans="1:22" ht="14" x14ac:dyDescent="0.15">
      <c r="A409" s="144"/>
      <c r="B409" s="144"/>
      <c r="C409" s="145"/>
      <c r="D409" s="145"/>
      <c r="E409" s="148"/>
      <c r="F409" s="147"/>
      <c r="G409" s="144"/>
      <c r="H409" s="144"/>
      <c r="I409" s="144"/>
      <c r="J409" s="145"/>
      <c r="K409" s="145"/>
      <c r="L409" s="148"/>
      <c r="M409" s="155"/>
      <c r="N409" s="144"/>
      <c r="O409" s="144"/>
      <c r="P409" s="144"/>
      <c r="Q409" s="145"/>
      <c r="R409" s="145"/>
      <c r="S409" s="148"/>
      <c r="T409" s="147"/>
      <c r="U409" s="144"/>
      <c r="V409" s="144"/>
    </row>
    <row r="410" spans="1:22" ht="14" x14ac:dyDescent="0.15">
      <c r="A410" s="144"/>
      <c r="B410" s="144"/>
      <c r="C410" s="145"/>
      <c r="D410" s="145"/>
      <c r="E410" s="148"/>
      <c r="F410" s="147"/>
      <c r="G410" s="144"/>
      <c r="H410" s="144"/>
      <c r="I410" s="144"/>
      <c r="J410" s="145"/>
      <c r="K410" s="145"/>
      <c r="L410" s="148"/>
      <c r="M410" s="155"/>
      <c r="N410" s="144"/>
      <c r="O410" s="144"/>
      <c r="P410" s="144"/>
      <c r="Q410" s="145"/>
      <c r="R410" s="145"/>
      <c r="S410" s="148"/>
      <c r="T410" s="147"/>
      <c r="U410" s="144"/>
      <c r="V410" s="144"/>
    </row>
    <row r="411" spans="1:22" ht="14" x14ac:dyDescent="0.15">
      <c r="A411" s="144"/>
      <c r="B411" s="144"/>
      <c r="C411" s="145"/>
      <c r="D411" s="145"/>
      <c r="E411" s="148"/>
      <c r="F411" s="147"/>
      <c r="G411" s="144"/>
      <c r="H411" s="144"/>
      <c r="I411" s="144"/>
      <c r="J411" s="145"/>
      <c r="K411" s="145"/>
      <c r="L411" s="148"/>
      <c r="M411" s="155"/>
      <c r="N411" s="144"/>
      <c r="O411" s="144"/>
      <c r="P411" s="144"/>
      <c r="Q411" s="145"/>
      <c r="R411" s="145"/>
      <c r="S411" s="148"/>
      <c r="T411" s="147"/>
      <c r="U411" s="144"/>
      <c r="V411" s="144"/>
    </row>
    <row r="412" spans="1:22" ht="14" x14ac:dyDescent="0.15">
      <c r="A412" s="144"/>
      <c r="B412" s="144"/>
      <c r="C412" s="145"/>
      <c r="D412" s="145"/>
      <c r="E412" s="148"/>
      <c r="F412" s="147"/>
      <c r="G412" s="144"/>
      <c r="H412" s="144"/>
      <c r="I412" s="144"/>
      <c r="J412" s="145"/>
      <c r="K412" s="145"/>
      <c r="L412" s="148"/>
      <c r="M412" s="155"/>
      <c r="N412" s="144"/>
      <c r="O412" s="144"/>
      <c r="P412" s="144"/>
      <c r="Q412" s="145"/>
      <c r="R412" s="145"/>
      <c r="S412" s="148"/>
      <c r="T412" s="147"/>
      <c r="U412" s="144"/>
      <c r="V412" s="144"/>
    </row>
    <row r="413" spans="1:22" ht="14" x14ac:dyDescent="0.15">
      <c r="A413" s="144"/>
      <c r="B413" s="144"/>
      <c r="C413" s="145"/>
      <c r="D413" s="145"/>
      <c r="E413" s="148"/>
      <c r="F413" s="147"/>
      <c r="G413" s="144"/>
      <c r="H413" s="144"/>
      <c r="I413" s="144"/>
      <c r="J413" s="145"/>
      <c r="K413" s="145"/>
      <c r="L413" s="148"/>
      <c r="M413" s="155"/>
      <c r="N413" s="144"/>
      <c r="O413" s="144"/>
      <c r="P413" s="144"/>
      <c r="Q413" s="145"/>
      <c r="R413" s="145"/>
      <c r="S413" s="148"/>
      <c r="T413" s="147"/>
      <c r="U413" s="144"/>
      <c r="V413" s="144"/>
    </row>
    <row r="414" spans="1:22" ht="14" x14ac:dyDescent="0.15">
      <c r="A414" s="144"/>
      <c r="B414" s="144"/>
      <c r="C414" s="145"/>
      <c r="D414" s="145"/>
      <c r="E414" s="148"/>
      <c r="F414" s="147"/>
      <c r="G414" s="144"/>
      <c r="H414" s="144"/>
      <c r="I414" s="144"/>
      <c r="J414" s="145"/>
      <c r="K414" s="145"/>
      <c r="L414" s="148"/>
      <c r="M414" s="155"/>
      <c r="N414" s="144"/>
      <c r="O414" s="144"/>
      <c r="P414" s="144"/>
      <c r="Q414" s="145"/>
      <c r="R414" s="145"/>
      <c r="S414" s="148"/>
      <c r="T414" s="147"/>
      <c r="U414" s="144"/>
      <c r="V414" s="144"/>
    </row>
    <row r="415" spans="1:22" ht="14" x14ac:dyDescent="0.15">
      <c r="A415" s="144"/>
      <c r="B415" s="144"/>
      <c r="C415" s="145"/>
      <c r="D415" s="145"/>
      <c r="E415" s="148"/>
      <c r="F415" s="147"/>
      <c r="G415" s="144"/>
      <c r="H415" s="144"/>
      <c r="I415" s="144"/>
      <c r="J415" s="145"/>
      <c r="K415" s="145"/>
      <c r="L415" s="148"/>
      <c r="M415" s="155"/>
      <c r="N415" s="144"/>
      <c r="O415" s="144"/>
      <c r="P415" s="144"/>
      <c r="Q415" s="145"/>
      <c r="R415" s="145"/>
      <c r="S415" s="148"/>
      <c r="T415" s="147"/>
      <c r="U415" s="144"/>
      <c r="V415" s="144"/>
    </row>
    <row r="416" spans="1:22" ht="14" x14ac:dyDescent="0.15">
      <c r="A416" s="144"/>
      <c r="B416" s="144"/>
      <c r="C416" s="145"/>
      <c r="D416" s="145"/>
      <c r="E416" s="148"/>
      <c r="F416" s="147"/>
      <c r="G416" s="144"/>
      <c r="H416" s="144"/>
      <c r="I416" s="144"/>
      <c r="J416" s="145"/>
      <c r="K416" s="145"/>
      <c r="L416" s="148"/>
      <c r="M416" s="155"/>
      <c r="N416" s="144"/>
      <c r="O416" s="144"/>
      <c r="P416" s="144"/>
      <c r="Q416" s="145"/>
      <c r="R416" s="145"/>
      <c r="S416" s="148"/>
      <c r="T416" s="147"/>
      <c r="U416" s="144"/>
      <c r="V416" s="144"/>
    </row>
    <row r="417" spans="1:22" ht="14" x14ac:dyDescent="0.15">
      <c r="A417" s="144"/>
      <c r="B417" s="144"/>
      <c r="C417" s="145"/>
      <c r="D417" s="145"/>
      <c r="E417" s="148"/>
      <c r="F417" s="147"/>
      <c r="G417" s="144"/>
      <c r="H417" s="144"/>
      <c r="I417" s="144"/>
      <c r="J417" s="145"/>
      <c r="K417" s="145"/>
      <c r="L417" s="148"/>
      <c r="M417" s="155"/>
      <c r="N417" s="144"/>
      <c r="O417" s="144"/>
      <c r="P417" s="144"/>
      <c r="Q417" s="145"/>
      <c r="R417" s="145"/>
      <c r="S417" s="148"/>
      <c r="T417" s="147"/>
      <c r="U417" s="144"/>
      <c r="V417" s="144"/>
    </row>
    <row r="418" spans="1:22" ht="14" x14ac:dyDescent="0.15">
      <c r="A418" s="144"/>
      <c r="B418" s="144"/>
      <c r="C418" s="145"/>
      <c r="D418" s="145"/>
      <c r="E418" s="148"/>
      <c r="F418" s="147"/>
      <c r="G418" s="144"/>
      <c r="H418" s="144"/>
      <c r="I418" s="144"/>
      <c r="J418" s="145"/>
      <c r="K418" s="145"/>
      <c r="L418" s="148"/>
      <c r="M418" s="155"/>
      <c r="N418" s="144"/>
      <c r="O418" s="144"/>
      <c r="P418" s="144"/>
      <c r="Q418" s="145"/>
      <c r="R418" s="145"/>
      <c r="S418" s="148"/>
      <c r="T418" s="147"/>
      <c r="U418" s="144"/>
      <c r="V418" s="144"/>
    </row>
    <row r="419" spans="1:22" ht="14" x14ac:dyDescent="0.15">
      <c r="A419" s="144"/>
      <c r="B419" s="144"/>
      <c r="C419" s="145"/>
      <c r="D419" s="145"/>
      <c r="E419" s="148"/>
      <c r="F419" s="147"/>
      <c r="G419" s="144"/>
      <c r="H419" s="144"/>
      <c r="I419" s="144"/>
      <c r="J419" s="145"/>
      <c r="K419" s="145"/>
      <c r="L419" s="148"/>
      <c r="M419" s="155"/>
      <c r="N419" s="144"/>
      <c r="O419" s="144"/>
      <c r="P419" s="144"/>
      <c r="Q419" s="145"/>
      <c r="R419" s="145"/>
      <c r="S419" s="148"/>
      <c r="T419" s="147"/>
      <c r="U419" s="144"/>
      <c r="V419" s="144"/>
    </row>
    <row r="420" spans="1:22" ht="14" x14ac:dyDescent="0.15">
      <c r="A420" s="144"/>
      <c r="B420" s="144"/>
      <c r="C420" s="145"/>
      <c r="D420" s="145"/>
      <c r="E420" s="148"/>
      <c r="F420" s="147"/>
      <c r="G420" s="144"/>
      <c r="H420" s="144"/>
      <c r="I420" s="144"/>
      <c r="J420" s="145"/>
      <c r="K420" s="145"/>
      <c r="L420" s="148"/>
      <c r="M420" s="155"/>
      <c r="N420" s="144"/>
      <c r="O420" s="144"/>
      <c r="P420" s="144"/>
      <c r="Q420" s="145"/>
      <c r="R420" s="145"/>
      <c r="S420" s="148"/>
      <c r="T420" s="147"/>
      <c r="U420" s="144"/>
      <c r="V420" s="144"/>
    </row>
    <row r="421" spans="1:22" ht="14" x14ac:dyDescent="0.15">
      <c r="A421" s="144"/>
      <c r="B421" s="144"/>
      <c r="C421" s="145"/>
      <c r="D421" s="145"/>
      <c r="E421" s="148"/>
      <c r="F421" s="147"/>
      <c r="G421" s="144"/>
      <c r="H421" s="144"/>
      <c r="I421" s="144"/>
      <c r="J421" s="145"/>
      <c r="K421" s="145"/>
      <c r="L421" s="148"/>
      <c r="M421" s="155"/>
      <c r="N421" s="144"/>
      <c r="O421" s="144"/>
      <c r="P421" s="144"/>
      <c r="Q421" s="145"/>
      <c r="R421" s="145"/>
      <c r="S421" s="148"/>
      <c r="T421" s="147"/>
      <c r="U421" s="144"/>
      <c r="V421" s="144"/>
    </row>
    <row r="422" spans="1:22" ht="14" x14ac:dyDescent="0.15">
      <c r="A422" s="144"/>
      <c r="B422" s="144"/>
      <c r="C422" s="145"/>
      <c r="D422" s="145"/>
      <c r="E422" s="148"/>
      <c r="F422" s="147"/>
      <c r="G422" s="144"/>
      <c r="H422" s="144"/>
      <c r="I422" s="144"/>
      <c r="J422" s="145"/>
      <c r="K422" s="145"/>
      <c r="L422" s="148"/>
      <c r="M422" s="155"/>
      <c r="N422" s="144"/>
      <c r="O422" s="144"/>
      <c r="P422" s="144"/>
      <c r="Q422" s="145"/>
      <c r="R422" s="145"/>
      <c r="S422" s="148"/>
      <c r="T422" s="147"/>
      <c r="U422" s="144"/>
      <c r="V422" s="144"/>
    </row>
    <row r="423" spans="1:22" ht="14" x14ac:dyDescent="0.15">
      <c r="A423" s="144"/>
      <c r="B423" s="144"/>
      <c r="C423" s="145"/>
      <c r="D423" s="145"/>
      <c r="E423" s="148"/>
      <c r="F423" s="147"/>
      <c r="G423" s="144"/>
      <c r="H423" s="144"/>
      <c r="I423" s="144"/>
      <c r="J423" s="145"/>
      <c r="K423" s="145"/>
      <c r="L423" s="148"/>
      <c r="M423" s="155"/>
      <c r="N423" s="144"/>
      <c r="O423" s="144"/>
      <c r="P423" s="144"/>
      <c r="Q423" s="145"/>
      <c r="R423" s="145"/>
      <c r="S423" s="148"/>
      <c r="T423" s="147"/>
      <c r="U423" s="144"/>
      <c r="V423" s="144"/>
    </row>
    <row r="424" spans="1:22" ht="14" x14ac:dyDescent="0.15">
      <c r="A424" s="144"/>
      <c r="B424" s="144"/>
      <c r="C424" s="145"/>
      <c r="D424" s="145"/>
      <c r="E424" s="148"/>
      <c r="F424" s="147"/>
      <c r="G424" s="144"/>
      <c r="H424" s="144"/>
      <c r="I424" s="144"/>
      <c r="J424" s="145"/>
      <c r="K424" s="145"/>
      <c r="L424" s="148"/>
      <c r="M424" s="155"/>
      <c r="N424" s="144"/>
      <c r="O424" s="144"/>
      <c r="P424" s="144"/>
      <c r="Q424" s="145"/>
      <c r="R424" s="145"/>
      <c r="S424" s="148"/>
      <c r="T424" s="147"/>
      <c r="U424" s="144"/>
      <c r="V424" s="144"/>
    </row>
    <row r="425" spans="1:22" ht="14" x14ac:dyDescent="0.15">
      <c r="A425" s="144"/>
      <c r="B425" s="144"/>
      <c r="C425" s="145"/>
      <c r="D425" s="145"/>
      <c r="E425" s="148"/>
      <c r="F425" s="147"/>
      <c r="G425" s="144"/>
      <c r="H425" s="144"/>
      <c r="I425" s="144"/>
      <c r="J425" s="145"/>
      <c r="K425" s="145"/>
      <c r="L425" s="148"/>
      <c r="M425" s="155"/>
      <c r="N425" s="144"/>
      <c r="O425" s="144"/>
      <c r="P425" s="144"/>
      <c r="Q425" s="145"/>
      <c r="R425" s="145"/>
      <c r="S425" s="148"/>
      <c r="T425" s="147"/>
      <c r="U425" s="144"/>
      <c r="V425" s="144"/>
    </row>
    <row r="426" spans="1:22" ht="14" x14ac:dyDescent="0.15">
      <c r="A426" s="144"/>
      <c r="B426" s="144"/>
      <c r="C426" s="145"/>
      <c r="D426" s="145"/>
      <c r="E426" s="148"/>
      <c r="F426" s="147"/>
      <c r="G426" s="144"/>
      <c r="H426" s="144"/>
      <c r="I426" s="144"/>
      <c r="J426" s="145"/>
      <c r="K426" s="145"/>
      <c r="L426" s="148"/>
      <c r="M426" s="155"/>
      <c r="N426" s="144"/>
      <c r="O426" s="144"/>
      <c r="P426" s="144"/>
      <c r="Q426" s="145"/>
      <c r="R426" s="145"/>
      <c r="S426" s="148"/>
      <c r="T426" s="147"/>
      <c r="U426" s="144"/>
      <c r="V426" s="144"/>
    </row>
    <row r="427" spans="1:22" ht="14" x14ac:dyDescent="0.15">
      <c r="A427" s="144"/>
      <c r="B427" s="144"/>
      <c r="C427" s="145"/>
      <c r="D427" s="145"/>
      <c r="E427" s="148"/>
      <c r="F427" s="147"/>
      <c r="G427" s="144"/>
      <c r="H427" s="144"/>
      <c r="I427" s="144"/>
      <c r="J427" s="145"/>
      <c r="K427" s="145"/>
      <c r="L427" s="148"/>
      <c r="M427" s="155"/>
      <c r="N427" s="144"/>
      <c r="O427" s="144"/>
      <c r="P427" s="144"/>
      <c r="Q427" s="145"/>
      <c r="R427" s="145"/>
      <c r="S427" s="148"/>
      <c r="T427" s="147"/>
      <c r="U427" s="144"/>
      <c r="V427" s="144"/>
    </row>
    <row r="428" spans="1:22" ht="14" x14ac:dyDescent="0.15">
      <c r="A428" s="144"/>
      <c r="B428" s="144"/>
      <c r="C428" s="145"/>
      <c r="D428" s="145"/>
      <c r="E428" s="148"/>
      <c r="F428" s="147"/>
      <c r="G428" s="144"/>
      <c r="H428" s="144"/>
      <c r="I428" s="144"/>
      <c r="J428" s="145"/>
      <c r="K428" s="145"/>
      <c r="L428" s="148"/>
      <c r="M428" s="155"/>
      <c r="N428" s="144"/>
      <c r="O428" s="144"/>
      <c r="P428" s="144"/>
      <c r="Q428" s="145"/>
      <c r="R428" s="145"/>
      <c r="S428" s="148"/>
      <c r="T428" s="147"/>
      <c r="U428" s="144"/>
      <c r="V428" s="144"/>
    </row>
    <row r="429" spans="1:22" ht="14" x14ac:dyDescent="0.15">
      <c r="A429" s="144"/>
      <c r="B429" s="144"/>
      <c r="C429" s="145"/>
      <c r="D429" s="145"/>
      <c r="E429" s="148"/>
      <c r="F429" s="147"/>
      <c r="G429" s="144"/>
      <c r="H429" s="144"/>
      <c r="I429" s="144"/>
      <c r="J429" s="145"/>
      <c r="K429" s="145"/>
      <c r="L429" s="148"/>
      <c r="M429" s="155"/>
      <c r="N429" s="144"/>
      <c r="O429" s="144"/>
      <c r="P429" s="144"/>
      <c r="Q429" s="145"/>
      <c r="R429" s="145"/>
      <c r="S429" s="148"/>
      <c r="T429" s="147"/>
      <c r="U429" s="144"/>
      <c r="V429" s="144"/>
    </row>
    <row r="430" spans="1:22" ht="14" x14ac:dyDescent="0.15">
      <c r="A430" s="144"/>
      <c r="B430" s="144"/>
      <c r="C430" s="145"/>
      <c r="D430" s="145"/>
      <c r="E430" s="148"/>
      <c r="F430" s="147"/>
      <c r="G430" s="144"/>
      <c r="H430" s="144"/>
      <c r="I430" s="144"/>
      <c r="J430" s="145"/>
      <c r="K430" s="145"/>
      <c r="L430" s="148"/>
      <c r="M430" s="155"/>
      <c r="N430" s="144"/>
      <c r="O430" s="144"/>
      <c r="P430" s="144"/>
      <c r="Q430" s="145"/>
      <c r="R430" s="145"/>
      <c r="S430" s="148"/>
      <c r="T430" s="147"/>
      <c r="U430" s="144"/>
      <c r="V430" s="144"/>
    </row>
    <row r="431" spans="1:22" ht="14" x14ac:dyDescent="0.15">
      <c r="A431" s="144"/>
      <c r="B431" s="144"/>
      <c r="C431" s="145"/>
      <c r="D431" s="145"/>
      <c r="E431" s="148"/>
      <c r="F431" s="147"/>
      <c r="G431" s="144"/>
      <c r="H431" s="144"/>
      <c r="I431" s="144"/>
      <c r="J431" s="145"/>
      <c r="K431" s="145"/>
      <c r="L431" s="148"/>
      <c r="M431" s="155"/>
      <c r="N431" s="144"/>
      <c r="O431" s="144"/>
      <c r="P431" s="144"/>
      <c r="Q431" s="145"/>
      <c r="R431" s="145"/>
      <c r="S431" s="148"/>
      <c r="T431" s="147"/>
      <c r="U431" s="144"/>
      <c r="V431" s="144"/>
    </row>
    <row r="432" spans="1:22" ht="14" x14ac:dyDescent="0.15">
      <c r="A432" s="144"/>
      <c r="B432" s="144"/>
      <c r="C432" s="145"/>
      <c r="D432" s="145"/>
      <c r="E432" s="148"/>
      <c r="F432" s="147"/>
      <c r="G432" s="144"/>
      <c r="H432" s="144"/>
      <c r="I432" s="144"/>
      <c r="J432" s="145"/>
      <c r="K432" s="145"/>
      <c r="L432" s="148"/>
      <c r="M432" s="155"/>
      <c r="N432" s="144"/>
      <c r="O432" s="144"/>
      <c r="P432" s="144"/>
      <c r="Q432" s="145"/>
      <c r="R432" s="145"/>
      <c r="S432" s="148"/>
      <c r="T432" s="147"/>
      <c r="U432" s="144"/>
      <c r="V432" s="144"/>
    </row>
    <row r="433" spans="1:22" ht="14" x14ac:dyDescent="0.15">
      <c r="A433" s="144"/>
      <c r="B433" s="144"/>
      <c r="C433" s="145"/>
      <c r="D433" s="145"/>
      <c r="E433" s="148"/>
      <c r="F433" s="147"/>
      <c r="G433" s="144"/>
      <c r="H433" s="144"/>
      <c r="I433" s="144"/>
      <c r="J433" s="145"/>
      <c r="K433" s="145"/>
      <c r="L433" s="148"/>
      <c r="M433" s="155"/>
      <c r="N433" s="144"/>
      <c r="O433" s="144"/>
      <c r="P433" s="144"/>
      <c r="Q433" s="145"/>
      <c r="R433" s="145"/>
      <c r="S433" s="148"/>
      <c r="T433" s="147"/>
      <c r="U433" s="144"/>
      <c r="V433" s="144"/>
    </row>
    <row r="434" spans="1:22" ht="14" x14ac:dyDescent="0.15">
      <c r="A434" s="144"/>
      <c r="B434" s="144"/>
      <c r="C434" s="145"/>
      <c r="D434" s="145"/>
      <c r="E434" s="148"/>
      <c r="F434" s="147"/>
      <c r="G434" s="144"/>
      <c r="H434" s="144"/>
      <c r="I434" s="144"/>
      <c r="J434" s="145"/>
      <c r="K434" s="145"/>
      <c r="L434" s="148"/>
      <c r="M434" s="155"/>
      <c r="N434" s="144"/>
      <c r="O434" s="144"/>
      <c r="P434" s="144"/>
      <c r="Q434" s="145"/>
      <c r="R434" s="145"/>
      <c r="S434" s="148"/>
      <c r="T434" s="147"/>
      <c r="U434" s="144"/>
      <c r="V434" s="144"/>
    </row>
    <row r="435" spans="1:22" ht="14" x14ac:dyDescent="0.15">
      <c r="A435" s="144"/>
      <c r="B435" s="144"/>
      <c r="C435" s="145"/>
      <c r="D435" s="145"/>
      <c r="E435" s="148"/>
      <c r="F435" s="147"/>
      <c r="G435" s="144"/>
      <c r="H435" s="144"/>
      <c r="I435" s="144"/>
      <c r="J435" s="145"/>
      <c r="K435" s="145"/>
      <c r="L435" s="148"/>
      <c r="M435" s="155"/>
      <c r="N435" s="144"/>
      <c r="O435" s="144"/>
      <c r="P435" s="144"/>
      <c r="Q435" s="145"/>
      <c r="R435" s="145"/>
      <c r="S435" s="148"/>
      <c r="T435" s="147"/>
      <c r="U435" s="144"/>
      <c r="V435" s="144"/>
    </row>
    <row r="436" spans="1:22" ht="14" x14ac:dyDescent="0.15">
      <c r="A436" s="144"/>
      <c r="B436" s="144"/>
      <c r="C436" s="145"/>
      <c r="D436" s="145"/>
      <c r="E436" s="148"/>
      <c r="F436" s="147"/>
      <c r="G436" s="144"/>
      <c r="H436" s="144"/>
      <c r="I436" s="144"/>
      <c r="J436" s="145"/>
      <c r="K436" s="145"/>
      <c r="L436" s="148"/>
      <c r="M436" s="155"/>
      <c r="N436" s="144"/>
      <c r="O436" s="144"/>
      <c r="P436" s="144"/>
      <c r="Q436" s="145"/>
      <c r="R436" s="145"/>
      <c r="S436" s="148"/>
      <c r="T436" s="147"/>
      <c r="U436" s="144"/>
      <c r="V436" s="144"/>
    </row>
    <row r="437" spans="1:22" ht="14" x14ac:dyDescent="0.15">
      <c r="A437" s="144"/>
      <c r="B437" s="144"/>
      <c r="C437" s="145"/>
      <c r="D437" s="145"/>
      <c r="E437" s="148"/>
      <c r="F437" s="147"/>
      <c r="G437" s="144"/>
      <c r="H437" s="144"/>
      <c r="I437" s="144"/>
      <c r="J437" s="145"/>
      <c r="K437" s="145"/>
      <c r="L437" s="148"/>
      <c r="M437" s="155"/>
      <c r="N437" s="144"/>
      <c r="O437" s="144"/>
      <c r="P437" s="144"/>
      <c r="Q437" s="145"/>
      <c r="R437" s="145"/>
      <c r="S437" s="148"/>
      <c r="T437" s="147"/>
      <c r="U437" s="144"/>
      <c r="V437" s="144"/>
    </row>
    <row r="438" spans="1:22" ht="14" x14ac:dyDescent="0.15">
      <c r="A438" s="144"/>
      <c r="B438" s="144"/>
      <c r="C438" s="145"/>
      <c r="D438" s="145"/>
      <c r="E438" s="148"/>
      <c r="F438" s="147"/>
      <c r="G438" s="144"/>
      <c r="H438" s="144"/>
      <c r="I438" s="144"/>
      <c r="J438" s="145"/>
      <c r="K438" s="145"/>
      <c r="L438" s="148"/>
      <c r="M438" s="155"/>
      <c r="N438" s="144"/>
      <c r="O438" s="144"/>
      <c r="P438" s="144"/>
      <c r="Q438" s="145"/>
      <c r="R438" s="145"/>
      <c r="S438" s="148"/>
      <c r="T438" s="147"/>
      <c r="U438" s="144"/>
      <c r="V438" s="144"/>
    </row>
    <row r="439" spans="1:22" ht="14" x14ac:dyDescent="0.15">
      <c r="A439" s="144"/>
      <c r="B439" s="144"/>
      <c r="C439" s="145"/>
      <c r="D439" s="145"/>
      <c r="E439" s="148"/>
      <c r="F439" s="147"/>
      <c r="G439" s="144"/>
      <c r="H439" s="144"/>
      <c r="I439" s="144"/>
      <c r="J439" s="145"/>
      <c r="K439" s="145"/>
      <c r="L439" s="148"/>
      <c r="M439" s="155"/>
      <c r="N439" s="144"/>
      <c r="O439" s="144"/>
      <c r="P439" s="144"/>
      <c r="Q439" s="145"/>
      <c r="R439" s="145"/>
      <c r="S439" s="148"/>
      <c r="T439" s="147"/>
      <c r="U439" s="144"/>
      <c r="V439" s="144"/>
    </row>
    <row r="440" spans="1:22" ht="14" x14ac:dyDescent="0.15">
      <c r="A440" s="144"/>
      <c r="B440" s="144"/>
      <c r="C440" s="145"/>
      <c r="D440" s="145"/>
      <c r="E440" s="148"/>
      <c r="F440" s="147"/>
      <c r="G440" s="144"/>
      <c r="H440" s="144"/>
      <c r="I440" s="144"/>
      <c r="J440" s="145"/>
      <c r="K440" s="145"/>
      <c r="L440" s="148"/>
      <c r="M440" s="155"/>
      <c r="N440" s="144"/>
      <c r="O440" s="144"/>
      <c r="P440" s="144"/>
      <c r="Q440" s="145"/>
      <c r="R440" s="145"/>
      <c r="S440" s="148"/>
      <c r="T440" s="147"/>
      <c r="U440" s="144"/>
      <c r="V440" s="144"/>
    </row>
    <row r="441" spans="1:22" ht="14" x14ac:dyDescent="0.15">
      <c r="A441" s="144"/>
      <c r="B441" s="144"/>
      <c r="C441" s="145"/>
      <c r="D441" s="145"/>
      <c r="E441" s="148"/>
      <c r="F441" s="147"/>
      <c r="G441" s="144"/>
      <c r="H441" s="144"/>
      <c r="I441" s="144"/>
      <c r="J441" s="145"/>
      <c r="K441" s="145"/>
      <c r="L441" s="148"/>
      <c r="M441" s="155"/>
      <c r="N441" s="144"/>
      <c r="O441" s="144"/>
      <c r="P441" s="144"/>
      <c r="Q441" s="145"/>
      <c r="R441" s="145"/>
      <c r="S441" s="148"/>
      <c r="T441" s="147"/>
      <c r="U441" s="144"/>
      <c r="V441" s="144"/>
    </row>
    <row r="442" spans="1:22" ht="14" x14ac:dyDescent="0.15">
      <c r="A442" s="144"/>
      <c r="B442" s="144"/>
      <c r="C442" s="145"/>
      <c r="D442" s="145"/>
      <c r="E442" s="148"/>
      <c r="F442" s="147"/>
      <c r="G442" s="144"/>
      <c r="H442" s="144"/>
      <c r="I442" s="144"/>
      <c r="J442" s="145"/>
      <c r="K442" s="145"/>
      <c r="L442" s="148"/>
      <c r="M442" s="155"/>
      <c r="N442" s="144"/>
      <c r="O442" s="144"/>
      <c r="P442" s="144"/>
      <c r="Q442" s="145"/>
      <c r="R442" s="145"/>
      <c r="S442" s="148"/>
      <c r="T442" s="147"/>
      <c r="U442" s="144"/>
      <c r="V442" s="144"/>
    </row>
    <row r="443" spans="1:22" ht="14" x14ac:dyDescent="0.15">
      <c r="A443" s="144"/>
      <c r="B443" s="144"/>
      <c r="C443" s="145"/>
      <c r="D443" s="145"/>
      <c r="E443" s="148"/>
      <c r="F443" s="147"/>
      <c r="G443" s="144"/>
      <c r="H443" s="144"/>
      <c r="I443" s="144"/>
      <c r="J443" s="145"/>
      <c r="K443" s="145"/>
      <c r="L443" s="148"/>
      <c r="M443" s="155"/>
      <c r="N443" s="144"/>
      <c r="O443" s="144"/>
      <c r="P443" s="144"/>
      <c r="Q443" s="145"/>
      <c r="R443" s="145"/>
      <c r="S443" s="148"/>
      <c r="T443" s="147"/>
      <c r="U443" s="144"/>
      <c r="V443" s="144"/>
    </row>
    <row r="444" spans="1:22" ht="14" x14ac:dyDescent="0.15">
      <c r="A444" s="144"/>
      <c r="B444" s="144"/>
      <c r="C444" s="145"/>
      <c r="D444" s="145"/>
      <c r="E444" s="148"/>
      <c r="F444" s="147"/>
      <c r="G444" s="144"/>
      <c r="H444" s="144"/>
      <c r="I444" s="144"/>
      <c r="J444" s="145"/>
      <c r="K444" s="145"/>
      <c r="L444" s="148"/>
      <c r="M444" s="155"/>
      <c r="N444" s="144"/>
      <c r="O444" s="144"/>
      <c r="P444" s="144"/>
      <c r="Q444" s="145"/>
      <c r="R444" s="145"/>
      <c r="S444" s="148"/>
      <c r="T444" s="147"/>
      <c r="U444" s="144"/>
      <c r="V444" s="144"/>
    </row>
    <row r="445" spans="1:22" ht="14" x14ac:dyDescent="0.15">
      <c r="A445" s="144"/>
      <c r="B445" s="144"/>
      <c r="C445" s="145"/>
      <c r="D445" s="145"/>
      <c r="E445" s="148"/>
      <c r="F445" s="147"/>
      <c r="G445" s="144"/>
      <c r="H445" s="144"/>
      <c r="I445" s="144"/>
      <c r="J445" s="145"/>
      <c r="K445" s="145"/>
      <c r="L445" s="148"/>
      <c r="M445" s="155"/>
      <c r="N445" s="144"/>
      <c r="O445" s="144"/>
      <c r="P445" s="144"/>
      <c r="Q445" s="145"/>
      <c r="R445" s="145"/>
      <c r="S445" s="148"/>
      <c r="T445" s="147"/>
      <c r="U445" s="144"/>
      <c r="V445" s="144"/>
    </row>
    <row r="446" spans="1:22" ht="14" x14ac:dyDescent="0.15">
      <c r="A446" s="144"/>
      <c r="B446" s="144"/>
      <c r="C446" s="145"/>
      <c r="D446" s="145"/>
      <c r="E446" s="148"/>
      <c r="F446" s="147"/>
      <c r="G446" s="144"/>
      <c r="H446" s="144"/>
      <c r="I446" s="144"/>
      <c r="J446" s="145"/>
      <c r="K446" s="145"/>
      <c r="L446" s="148"/>
      <c r="M446" s="155"/>
      <c r="N446" s="144"/>
      <c r="O446" s="144"/>
      <c r="P446" s="144"/>
      <c r="Q446" s="145"/>
      <c r="R446" s="145"/>
      <c r="S446" s="148"/>
      <c r="T446" s="147"/>
      <c r="U446" s="144"/>
      <c r="V446" s="144"/>
    </row>
    <row r="447" spans="1:22" ht="14" x14ac:dyDescent="0.15">
      <c r="A447" s="144"/>
      <c r="B447" s="144"/>
      <c r="C447" s="145"/>
      <c r="D447" s="145"/>
      <c r="E447" s="148"/>
      <c r="F447" s="147"/>
      <c r="G447" s="144"/>
      <c r="H447" s="144"/>
      <c r="I447" s="144"/>
      <c r="J447" s="145"/>
      <c r="K447" s="145"/>
      <c r="L447" s="148"/>
      <c r="M447" s="155"/>
      <c r="N447" s="144"/>
      <c r="O447" s="144"/>
      <c r="P447" s="144"/>
      <c r="Q447" s="145"/>
      <c r="R447" s="145"/>
      <c r="S447" s="148"/>
      <c r="T447" s="147"/>
      <c r="U447" s="144"/>
      <c r="V447" s="144"/>
    </row>
    <row r="448" spans="1:22" ht="14" x14ac:dyDescent="0.15">
      <c r="A448" s="144"/>
      <c r="B448" s="144"/>
      <c r="C448" s="145"/>
      <c r="D448" s="145"/>
      <c r="E448" s="148"/>
      <c r="F448" s="147"/>
      <c r="G448" s="144"/>
      <c r="H448" s="144"/>
      <c r="I448" s="144"/>
      <c r="J448" s="145"/>
      <c r="K448" s="145"/>
      <c r="L448" s="148"/>
      <c r="M448" s="155"/>
      <c r="N448" s="144"/>
      <c r="O448" s="144"/>
      <c r="P448" s="144"/>
      <c r="Q448" s="145"/>
      <c r="R448" s="145"/>
      <c r="S448" s="148"/>
      <c r="T448" s="147"/>
      <c r="U448" s="144"/>
      <c r="V448" s="144"/>
    </row>
    <row r="449" spans="1:22" ht="14" x14ac:dyDescent="0.15">
      <c r="A449" s="144"/>
      <c r="B449" s="144"/>
      <c r="C449" s="145"/>
      <c r="D449" s="145"/>
      <c r="E449" s="148"/>
      <c r="F449" s="147"/>
      <c r="G449" s="144"/>
      <c r="H449" s="144"/>
      <c r="I449" s="144"/>
      <c r="J449" s="145"/>
      <c r="K449" s="145"/>
      <c r="L449" s="148"/>
      <c r="M449" s="155"/>
      <c r="N449" s="144"/>
      <c r="O449" s="144"/>
      <c r="P449" s="144"/>
      <c r="Q449" s="145"/>
      <c r="R449" s="145"/>
      <c r="S449" s="148"/>
      <c r="T449" s="147"/>
      <c r="U449" s="144"/>
      <c r="V449" s="144"/>
    </row>
    <row r="450" spans="1:22" ht="14" x14ac:dyDescent="0.15">
      <c r="A450" s="144"/>
      <c r="B450" s="144"/>
      <c r="C450" s="145"/>
      <c r="D450" s="145"/>
      <c r="E450" s="148"/>
      <c r="F450" s="147"/>
      <c r="G450" s="144"/>
      <c r="H450" s="144"/>
      <c r="I450" s="144"/>
      <c r="J450" s="145"/>
      <c r="K450" s="145"/>
      <c r="L450" s="148"/>
      <c r="M450" s="155"/>
      <c r="N450" s="144"/>
      <c r="O450" s="144"/>
      <c r="P450" s="144"/>
      <c r="Q450" s="145"/>
      <c r="R450" s="145"/>
      <c r="S450" s="148"/>
      <c r="T450" s="147"/>
      <c r="U450" s="144"/>
      <c r="V450" s="144"/>
    </row>
    <row r="451" spans="1:22" ht="14" x14ac:dyDescent="0.15">
      <c r="A451" s="144"/>
      <c r="B451" s="144"/>
      <c r="C451" s="145"/>
      <c r="D451" s="145"/>
      <c r="E451" s="148"/>
      <c r="F451" s="147"/>
      <c r="G451" s="144"/>
      <c r="H451" s="144"/>
      <c r="I451" s="144"/>
      <c r="J451" s="145"/>
      <c r="K451" s="145"/>
      <c r="L451" s="148"/>
      <c r="M451" s="155"/>
      <c r="N451" s="144"/>
      <c r="O451" s="144"/>
      <c r="P451" s="144"/>
      <c r="Q451" s="145"/>
      <c r="R451" s="145"/>
      <c r="S451" s="148"/>
      <c r="T451" s="147"/>
      <c r="U451" s="144"/>
      <c r="V451" s="144"/>
    </row>
    <row r="452" spans="1:22" ht="14" x14ac:dyDescent="0.15">
      <c r="A452" s="144"/>
      <c r="B452" s="144"/>
      <c r="C452" s="145"/>
      <c r="D452" s="145"/>
      <c r="E452" s="148"/>
      <c r="F452" s="147"/>
      <c r="G452" s="144"/>
      <c r="H452" s="144"/>
      <c r="I452" s="144"/>
      <c r="J452" s="145"/>
      <c r="K452" s="145"/>
      <c r="L452" s="148"/>
      <c r="M452" s="155"/>
      <c r="N452" s="144"/>
      <c r="O452" s="144"/>
      <c r="P452" s="144"/>
      <c r="Q452" s="145"/>
      <c r="R452" s="145"/>
      <c r="S452" s="148"/>
      <c r="T452" s="147"/>
      <c r="U452" s="144"/>
      <c r="V452" s="144"/>
    </row>
    <row r="453" spans="1:22" ht="14" x14ac:dyDescent="0.15">
      <c r="A453" s="144"/>
      <c r="B453" s="144"/>
      <c r="C453" s="145"/>
      <c r="D453" s="145"/>
      <c r="E453" s="148"/>
      <c r="F453" s="147"/>
      <c r="G453" s="144"/>
      <c r="H453" s="144"/>
      <c r="I453" s="144"/>
      <c r="J453" s="145"/>
      <c r="K453" s="145"/>
      <c r="L453" s="148"/>
      <c r="M453" s="155"/>
      <c r="N453" s="144"/>
      <c r="O453" s="144"/>
      <c r="P453" s="144"/>
      <c r="Q453" s="145"/>
      <c r="R453" s="145"/>
      <c r="S453" s="148"/>
      <c r="T453" s="147"/>
      <c r="U453" s="144"/>
      <c r="V453" s="144"/>
    </row>
    <row r="454" spans="1:22" ht="14" x14ac:dyDescent="0.15">
      <c r="A454" s="144"/>
      <c r="B454" s="144"/>
      <c r="C454" s="145"/>
      <c r="D454" s="145"/>
      <c r="E454" s="148"/>
      <c r="F454" s="147"/>
      <c r="G454" s="144"/>
      <c r="H454" s="144"/>
      <c r="I454" s="144"/>
      <c r="J454" s="145"/>
      <c r="K454" s="145"/>
      <c r="L454" s="148"/>
      <c r="M454" s="155"/>
      <c r="N454" s="144"/>
      <c r="O454" s="144"/>
      <c r="P454" s="144"/>
      <c r="Q454" s="145"/>
      <c r="R454" s="145"/>
      <c r="S454" s="148"/>
      <c r="T454" s="147"/>
      <c r="U454" s="144"/>
      <c r="V454" s="144"/>
    </row>
    <row r="455" spans="1:22" ht="14" x14ac:dyDescent="0.15">
      <c r="A455" s="144"/>
      <c r="B455" s="144"/>
      <c r="C455" s="145"/>
      <c r="D455" s="145"/>
      <c r="E455" s="148"/>
      <c r="F455" s="147"/>
      <c r="G455" s="144"/>
      <c r="H455" s="144"/>
      <c r="I455" s="144"/>
      <c r="J455" s="145"/>
      <c r="K455" s="145"/>
      <c r="L455" s="148"/>
      <c r="M455" s="155"/>
      <c r="N455" s="144"/>
      <c r="O455" s="144"/>
      <c r="P455" s="144"/>
      <c r="Q455" s="145"/>
      <c r="R455" s="145"/>
      <c r="S455" s="148"/>
      <c r="T455" s="147"/>
      <c r="U455" s="144"/>
      <c r="V455" s="144"/>
    </row>
    <row r="456" spans="1:22" ht="14" x14ac:dyDescent="0.15">
      <c r="A456" s="144"/>
      <c r="B456" s="144"/>
      <c r="C456" s="145"/>
      <c r="D456" s="145"/>
      <c r="E456" s="148"/>
      <c r="F456" s="147"/>
      <c r="G456" s="144"/>
      <c r="H456" s="144"/>
      <c r="I456" s="144"/>
      <c r="J456" s="145"/>
      <c r="K456" s="145"/>
      <c r="L456" s="148"/>
      <c r="M456" s="155"/>
      <c r="N456" s="144"/>
      <c r="O456" s="144"/>
      <c r="P456" s="144"/>
      <c r="Q456" s="145"/>
      <c r="R456" s="145"/>
      <c r="S456" s="148"/>
      <c r="T456" s="147"/>
      <c r="U456" s="144"/>
      <c r="V456" s="144"/>
    </row>
    <row r="457" spans="1:22" ht="14" x14ac:dyDescent="0.15">
      <c r="A457" s="144"/>
      <c r="B457" s="144"/>
      <c r="C457" s="145"/>
      <c r="D457" s="145"/>
      <c r="E457" s="148"/>
      <c r="F457" s="147"/>
      <c r="G457" s="144"/>
      <c r="H457" s="144"/>
      <c r="I457" s="144"/>
      <c r="J457" s="145"/>
      <c r="K457" s="145"/>
      <c r="L457" s="148"/>
      <c r="M457" s="155"/>
      <c r="N457" s="144"/>
      <c r="O457" s="144"/>
      <c r="P457" s="144"/>
      <c r="Q457" s="145"/>
      <c r="R457" s="145"/>
      <c r="S457" s="148"/>
      <c r="T457" s="147"/>
      <c r="U457" s="144"/>
      <c r="V457" s="144"/>
    </row>
    <row r="458" spans="1:22" ht="14" x14ac:dyDescent="0.15">
      <c r="A458" s="144"/>
      <c r="B458" s="144"/>
      <c r="C458" s="145"/>
      <c r="D458" s="145"/>
      <c r="E458" s="148"/>
      <c r="F458" s="147"/>
      <c r="G458" s="144"/>
      <c r="H458" s="144"/>
      <c r="I458" s="144"/>
      <c r="J458" s="145"/>
      <c r="K458" s="145"/>
      <c r="L458" s="148"/>
      <c r="M458" s="155"/>
      <c r="N458" s="144"/>
      <c r="O458" s="144"/>
      <c r="P458" s="144"/>
      <c r="Q458" s="145"/>
      <c r="R458" s="145"/>
      <c r="S458" s="148"/>
      <c r="T458" s="147"/>
      <c r="U458" s="144"/>
      <c r="V458" s="144"/>
    </row>
    <row r="459" spans="1:22" ht="14" x14ac:dyDescent="0.15">
      <c r="A459" s="144"/>
      <c r="B459" s="144"/>
      <c r="C459" s="145"/>
      <c r="D459" s="145"/>
      <c r="E459" s="148"/>
      <c r="F459" s="147"/>
      <c r="G459" s="144"/>
      <c r="H459" s="144"/>
      <c r="I459" s="144"/>
      <c r="J459" s="145"/>
      <c r="K459" s="145"/>
      <c r="L459" s="148"/>
      <c r="M459" s="155"/>
      <c r="N459" s="144"/>
      <c r="O459" s="144"/>
      <c r="P459" s="144"/>
      <c r="Q459" s="145"/>
      <c r="R459" s="145"/>
      <c r="S459" s="148"/>
      <c r="T459" s="147"/>
      <c r="U459" s="144"/>
      <c r="V459" s="144"/>
    </row>
    <row r="460" spans="1:22" ht="14" x14ac:dyDescent="0.15">
      <c r="A460" s="144"/>
      <c r="B460" s="144"/>
      <c r="C460" s="145"/>
      <c r="D460" s="145"/>
      <c r="E460" s="148"/>
      <c r="F460" s="147"/>
      <c r="G460" s="144"/>
      <c r="H460" s="144"/>
      <c r="I460" s="144"/>
      <c r="J460" s="145"/>
      <c r="K460" s="145"/>
      <c r="L460" s="148"/>
      <c r="M460" s="155"/>
      <c r="N460" s="144"/>
      <c r="O460" s="144"/>
      <c r="P460" s="144"/>
      <c r="Q460" s="145"/>
      <c r="R460" s="145"/>
      <c r="S460" s="148"/>
      <c r="T460" s="147"/>
      <c r="U460" s="144"/>
      <c r="V460" s="144"/>
    </row>
    <row r="461" spans="1:22" ht="14" x14ac:dyDescent="0.15">
      <c r="A461" s="144"/>
      <c r="B461" s="144"/>
      <c r="C461" s="145"/>
      <c r="D461" s="145"/>
      <c r="E461" s="148"/>
      <c r="F461" s="147"/>
      <c r="G461" s="144"/>
      <c r="H461" s="144"/>
      <c r="I461" s="144"/>
      <c r="J461" s="145"/>
      <c r="K461" s="145"/>
      <c r="L461" s="148"/>
      <c r="M461" s="155"/>
      <c r="N461" s="144"/>
      <c r="O461" s="144"/>
      <c r="P461" s="144"/>
      <c r="Q461" s="145"/>
      <c r="R461" s="145"/>
      <c r="S461" s="148"/>
      <c r="T461" s="147"/>
      <c r="U461" s="144"/>
      <c r="V461" s="144"/>
    </row>
    <row r="462" spans="1:22" ht="14" x14ac:dyDescent="0.15">
      <c r="A462" s="144"/>
      <c r="B462" s="144"/>
      <c r="C462" s="145"/>
      <c r="D462" s="145"/>
      <c r="E462" s="148"/>
      <c r="F462" s="147"/>
      <c r="G462" s="144"/>
      <c r="H462" s="144"/>
      <c r="I462" s="144"/>
      <c r="J462" s="145"/>
      <c r="K462" s="145"/>
      <c r="L462" s="148"/>
      <c r="M462" s="155"/>
      <c r="N462" s="144"/>
      <c r="O462" s="144"/>
      <c r="P462" s="144"/>
      <c r="Q462" s="145"/>
      <c r="R462" s="145"/>
      <c r="S462" s="148"/>
      <c r="T462" s="147"/>
      <c r="U462" s="144"/>
      <c r="V462" s="144"/>
    </row>
    <row r="463" spans="1:22" ht="14" x14ac:dyDescent="0.15">
      <c r="A463" s="144"/>
      <c r="B463" s="144"/>
      <c r="C463" s="145"/>
      <c r="D463" s="145"/>
      <c r="E463" s="148"/>
      <c r="F463" s="147"/>
      <c r="G463" s="144"/>
      <c r="H463" s="144"/>
      <c r="I463" s="144"/>
      <c r="J463" s="145"/>
      <c r="K463" s="145"/>
      <c r="L463" s="148"/>
      <c r="M463" s="155"/>
      <c r="N463" s="144"/>
      <c r="O463" s="144"/>
      <c r="P463" s="144"/>
      <c r="Q463" s="145"/>
      <c r="R463" s="145"/>
      <c r="S463" s="148"/>
      <c r="T463" s="147"/>
      <c r="U463" s="144"/>
      <c r="V463" s="144"/>
    </row>
    <row r="464" spans="1:22" ht="14" x14ac:dyDescent="0.15">
      <c r="A464" s="144"/>
      <c r="B464" s="144"/>
      <c r="C464" s="145"/>
      <c r="D464" s="145"/>
      <c r="E464" s="148"/>
      <c r="F464" s="147"/>
      <c r="G464" s="144"/>
      <c r="H464" s="144"/>
      <c r="I464" s="144"/>
      <c r="J464" s="145"/>
      <c r="K464" s="145"/>
      <c r="L464" s="148"/>
      <c r="M464" s="155"/>
      <c r="N464" s="144"/>
      <c r="O464" s="144"/>
      <c r="P464" s="144"/>
      <c r="Q464" s="145"/>
      <c r="R464" s="145"/>
      <c r="S464" s="148"/>
      <c r="T464" s="147"/>
      <c r="U464" s="144"/>
      <c r="V464" s="144"/>
    </row>
    <row r="465" spans="1:22" ht="14" x14ac:dyDescent="0.15">
      <c r="A465" s="144"/>
      <c r="B465" s="144"/>
      <c r="C465" s="145"/>
      <c r="D465" s="145"/>
      <c r="E465" s="148"/>
      <c r="F465" s="147"/>
      <c r="G465" s="144"/>
      <c r="H465" s="144"/>
      <c r="I465" s="144"/>
      <c r="J465" s="145"/>
      <c r="K465" s="145"/>
      <c r="L465" s="148"/>
      <c r="M465" s="155"/>
      <c r="N465" s="144"/>
      <c r="O465" s="144"/>
      <c r="P465" s="144"/>
      <c r="Q465" s="145"/>
      <c r="R465" s="145"/>
      <c r="S465" s="148"/>
      <c r="T465" s="147"/>
      <c r="U465" s="144"/>
      <c r="V465" s="144"/>
    </row>
    <row r="466" spans="1:22" ht="14" x14ac:dyDescent="0.15">
      <c r="A466" s="144"/>
      <c r="B466" s="144"/>
      <c r="C466" s="145"/>
      <c r="D466" s="145"/>
      <c r="E466" s="148"/>
      <c r="F466" s="147"/>
      <c r="G466" s="144"/>
      <c r="H466" s="144"/>
      <c r="I466" s="144"/>
      <c r="J466" s="145"/>
      <c r="K466" s="145"/>
      <c r="L466" s="148"/>
      <c r="M466" s="155"/>
      <c r="N466" s="144"/>
      <c r="O466" s="144"/>
      <c r="P466" s="144"/>
      <c r="Q466" s="145"/>
      <c r="R466" s="145"/>
      <c r="S466" s="148"/>
      <c r="T466" s="147"/>
      <c r="U466" s="144"/>
      <c r="V466" s="144"/>
    </row>
    <row r="467" spans="1:22" ht="14" x14ac:dyDescent="0.15">
      <c r="A467" s="144"/>
      <c r="B467" s="144"/>
      <c r="C467" s="145"/>
      <c r="D467" s="145"/>
      <c r="E467" s="148"/>
      <c r="F467" s="147"/>
      <c r="G467" s="144"/>
      <c r="H467" s="144"/>
      <c r="I467" s="144"/>
      <c r="J467" s="145"/>
      <c r="K467" s="145"/>
      <c r="L467" s="148"/>
      <c r="M467" s="155"/>
      <c r="N467" s="144"/>
      <c r="O467" s="144"/>
      <c r="P467" s="144"/>
      <c r="Q467" s="145"/>
      <c r="R467" s="145"/>
      <c r="S467" s="148"/>
      <c r="T467" s="147"/>
      <c r="U467" s="144"/>
      <c r="V467" s="144"/>
    </row>
    <row r="468" spans="1:22" ht="14" x14ac:dyDescent="0.15">
      <c r="A468" s="144"/>
      <c r="B468" s="144"/>
      <c r="C468" s="145"/>
      <c r="D468" s="145"/>
      <c r="E468" s="148"/>
      <c r="F468" s="147"/>
      <c r="G468" s="144"/>
      <c r="H468" s="144"/>
      <c r="I468" s="144"/>
      <c r="J468" s="145"/>
      <c r="K468" s="145"/>
      <c r="L468" s="148"/>
      <c r="M468" s="155"/>
      <c r="N468" s="144"/>
      <c r="O468" s="144"/>
      <c r="P468" s="144"/>
      <c r="Q468" s="145"/>
      <c r="R468" s="145"/>
      <c r="S468" s="148"/>
      <c r="T468" s="147"/>
      <c r="U468" s="144"/>
      <c r="V468" s="144"/>
    </row>
    <row r="469" spans="1:22" ht="14" x14ac:dyDescent="0.15">
      <c r="A469" s="144"/>
      <c r="B469" s="144"/>
      <c r="C469" s="145"/>
      <c r="D469" s="145"/>
      <c r="E469" s="148"/>
      <c r="F469" s="147"/>
      <c r="G469" s="144"/>
      <c r="H469" s="144"/>
      <c r="I469" s="144"/>
      <c r="J469" s="145"/>
      <c r="K469" s="145"/>
      <c r="L469" s="148"/>
      <c r="M469" s="155"/>
      <c r="N469" s="144"/>
      <c r="O469" s="144"/>
      <c r="P469" s="144"/>
      <c r="Q469" s="145"/>
      <c r="R469" s="145"/>
      <c r="S469" s="148"/>
      <c r="T469" s="147"/>
      <c r="U469" s="144"/>
      <c r="V469" s="144"/>
    </row>
    <row r="470" spans="1:22" ht="14" x14ac:dyDescent="0.15">
      <c r="A470" s="144"/>
      <c r="B470" s="144"/>
      <c r="C470" s="145"/>
      <c r="D470" s="145"/>
      <c r="E470" s="148"/>
      <c r="F470" s="147"/>
      <c r="G470" s="144"/>
      <c r="H470" s="144"/>
      <c r="I470" s="144"/>
      <c r="J470" s="145"/>
      <c r="K470" s="145"/>
      <c r="L470" s="148"/>
      <c r="M470" s="155"/>
      <c r="N470" s="144"/>
      <c r="O470" s="144"/>
      <c r="P470" s="144"/>
      <c r="Q470" s="145"/>
      <c r="R470" s="145"/>
      <c r="S470" s="148"/>
      <c r="T470" s="147"/>
      <c r="U470" s="144"/>
      <c r="V470" s="144"/>
    </row>
    <row r="471" spans="1:22" ht="14" x14ac:dyDescent="0.15">
      <c r="A471" s="144"/>
      <c r="B471" s="144"/>
      <c r="C471" s="145"/>
      <c r="D471" s="145"/>
      <c r="E471" s="148"/>
      <c r="F471" s="147"/>
      <c r="G471" s="144"/>
      <c r="H471" s="144"/>
      <c r="I471" s="144"/>
      <c r="J471" s="145"/>
      <c r="K471" s="145"/>
      <c r="L471" s="148"/>
      <c r="M471" s="155"/>
      <c r="N471" s="144"/>
      <c r="O471" s="144"/>
      <c r="P471" s="144"/>
      <c r="Q471" s="145"/>
      <c r="R471" s="145"/>
      <c r="S471" s="148"/>
      <c r="T471" s="147"/>
      <c r="U471" s="144"/>
      <c r="V471" s="144"/>
    </row>
    <row r="472" spans="1:22" ht="14" x14ac:dyDescent="0.15">
      <c r="A472" s="144"/>
      <c r="B472" s="144"/>
      <c r="C472" s="145"/>
      <c r="D472" s="145"/>
      <c r="E472" s="148"/>
      <c r="F472" s="147"/>
      <c r="G472" s="144"/>
      <c r="H472" s="144"/>
      <c r="I472" s="144"/>
      <c r="J472" s="145"/>
      <c r="K472" s="145"/>
      <c r="L472" s="148"/>
      <c r="M472" s="155"/>
      <c r="N472" s="144"/>
      <c r="O472" s="144"/>
      <c r="P472" s="144"/>
      <c r="Q472" s="145"/>
      <c r="R472" s="145"/>
      <c r="S472" s="148"/>
      <c r="T472" s="147"/>
      <c r="U472" s="144"/>
      <c r="V472" s="144"/>
    </row>
    <row r="473" spans="1:22" ht="14" x14ac:dyDescent="0.15">
      <c r="A473" s="144"/>
      <c r="B473" s="144"/>
      <c r="C473" s="145"/>
      <c r="D473" s="145"/>
      <c r="E473" s="148"/>
      <c r="F473" s="147"/>
      <c r="G473" s="144"/>
      <c r="H473" s="144"/>
      <c r="I473" s="144"/>
      <c r="J473" s="145"/>
      <c r="K473" s="145"/>
      <c r="L473" s="148"/>
      <c r="M473" s="155"/>
      <c r="N473" s="144"/>
      <c r="O473" s="144"/>
      <c r="P473" s="144"/>
      <c r="Q473" s="145"/>
      <c r="R473" s="145"/>
      <c r="S473" s="148"/>
      <c r="T473" s="147"/>
      <c r="U473" s="144"/>
      <c r="V473" s="144"/>
    </row>
    <row r="474" spans="1:22" ht="14" x14ac:dyDescent="0.15">
      <c r="A474" s="144"/>
      <c r="B474" s="144"/>
      <c r="C474" s="145"/>
      <c r="D474" s="145"/>
      <c r="E474" s="148"/>
      <c r="F474" s="147"/>
      <c r="G474" s="144"/>
      <c r="H474" s="144"/>
      <c r="I474" s="144"/>
      <c r="J474" s="145"/>
      <c r="K474" s="145"/>
      <c r="L474" s="148"/>
      <c r="M474" s="155"/>
      <c r="N474" s="144"/>
      <c r="O474" s="144"/>
      <c r="P474" s="144"/>
      <c r="Q474" s="145"/>
      <c r="R474" s="145"/>
      <c r="S474" s="148"/>
      <c r="T474" s="147"/>
      <c r="U474" s="144"/>
      <c r="V474" s="144"/>
    </row>
    <row r="475" spans="1:22" ht="14" x14ac:dyDescent="0.15">
      <c r="A475" s="144"/>
      <c r="B475" s="144"/>
      <c r="C475" s="145"/>
      <c r="D475" s="145"/>
      <c r="E475" s="148"/>
      <c r="F475" s="147"/>
      <c r="G475" s="144"/>
      <c r="H475" s="144"/>
      <c r="I475" s="144"/>
      <c r="J475" s="145"/>
      <c r="K475" s="145"/>
      <c r="L475" s="148"/>
      <c r="M475" s="155"/>
      <c r="N475" s="144"/>
      <c r="O475" s="144"/>
      <c r="P475" s="144"/>
      <c r="Q475" s="145"/>
      <c r="R475" s="145"/>
      <c r="S475" s="148"/>
      <c r="T475" s="147"/>
      <c r="U475" s="144"/>
      <c r="V475" s="144"/>
    </row>
    <row r="476" spans="1:22" ht="14" x14ac:dyDescent="0.15">
      <c r="A476" s="144"/>
      <c r="B476" s="144"/>
      <c r="C476" s="145"/>
      <c r="D476" s="145"/>
      <c r="E476" s="148"/>
      <c r="F476" s="147"/>
      <c r="G476" s="144"/>
      <c r="H476" s="144"/>
      <c r="I476" s="144"/>
      <c r="J476" s="145"/>
      <c r="K476" s="145"/>
      <c r="L476" s="148"/>
      <c r="M476" s="155"/>
      <c r="N476" s="144"/>
      <c r="O476" s="144"/>
      <c r="P476" s="144"/>
      <c r="Q476" s="145"/>
      <c r="R476" s="145"/>
      <c r="S476" s="148"/>
      <c r="T476" s="147"/>
      <c r="U476" s="144"/>
      <c r="V476" s="144"/>
    </row>
    <row r="477" spans="1:22" ht="14" x14ac:dyDescent="0.15">
      <c r="A477" s="144"/>
      <c r="B477" s="144"/>
      <c r="C477" s="145"/>
      <c r="D477" s="145"/>
      <c r="E477" s="148"/>
      <c r="F477" s="147"/>
      <c r="G477" s="144"/>
      <c r="H477" s="144"/>
      <c r="I477" s="144"/>
      <c r="J477" s="145"/>
      <c r="K477" s="145"/>
      <c r="L477" s="148"/>
      <c r="M477" s="155"/>
      <c r="N477" s="144"/>
      <c r="O477" s="144"/>
      <c r="P477" s="144"/>
      <c r="Q477" s="145"/>
      <c r="R477" s="145"/>
      <c r="S477" s="148"/>
      <c r="T477" s="147"/>
      <c r="U477" s="144"/>
      <c r="V477" s="144"/>
    </row>
    <row r="478" spans="1:22" ht="14" x14ac:dyDescent="0.15">
      <c r="A478" s="144"/>
      <c r="B478" s="144"/>
      <c r="C478" s="145"/>
      <c r="D478" s="145"/>
      <c r="E478" s="148"/>
      <c r="F478" s="147"/>
      <c r="G478" s="144"/>
      <c r="H478" s="144"/>
      <c r="I478" s="144"/>
      <c r="J478" s="145"/>
      <c r="K478" s="145"/>
      <c r="L478" s="148"/>
      <c r="M478" s="155"/>
      <c r="N478" s="144"/>
      <c r="O478" s="144"/>
      <c r="P478" s="144"/>
      <c r="Q478" s="145"/>
      <c r="R478" s="145"/>
      <c r="S478" s="148"/>
      <c r="T478" s="147"/>
      <c r="U478" s="144"/>
      <c r="V478" s="144"/>
    </row>
    <row r="479" spans="1:22" ht="14" x14ac:dyDescent="0.15">
      <c r="A479" s="144"/>
      <c r="B479" s="144"/>
      <c r="C479" s="145"/>
      <c r="D479" s="145"/>
      <c r="E479" s="148"/>
      <c r="F479" s="147"/>
      <c r="G479" s="144"/>
      <c r="H479" s="144"/>
      <c r="I479" s="144"/>
      <c r="J479" s="145"/>
      <c r="K479" s="145"/>
      <c r="L479" s="148"/>
      <c r="M479" s="155"/>
      <c r="N479" s="144"/>
      <c r="O479" s="144"/>
      <c r="P479" s="144"/>
      <c r="Q479" s="145"/>
      <c r="R479" s="145"/>
      <c r="S479" s="148"/>
      <c r="T479" s="147"/>
      <c r="U479" s="144"/>
      <c r="V479" s="144"/>
    </row>
    <row r="480" spans="1:22" ht="14" x14ac:dyDescent="0.15">
      <c r="A480" s="144"/>
      <c r="B480" s="144"/>
      <c r="C480" s="145"/>
      <c r="D480" s="145"/>
      <c r="E480" s="148"/>
      <c r="F480" s="147"/>
      <c r="G480" s="144"/>
      <c r="H480" s="144"/>
      <c r="I480" s="144"/>
      <c r="J480" s="145"/>
      <c r="K480" s="145"/>
      <c r="L480" s="148"/>
      <c r="M480" s="155"/>
      <c r="N480" s="144"/>
      <c r="O480" s="144"/>
      <c r="P480" s="144"/>
      <c r="Q480" s="145"/>
      <c r="R480" s="145"/>
      <c r="S480" s="148"/>
      <c r="T480" s="147"/>
      <c r="U480" s="144"/>
      <c r="V480" s="144"/>
    </row>
    <row r="481" spans="1:22" ht="14" x14ac:dyDescent="0.15">
      <c r="A481" s="144"/>
      <c r="B481" s="144"/>
      <c r="C481" s="145"/>
      <c r="D481" s="145"/>
      <c r="E481" s="148"/>
      <c r="F481" s="147"/>
      <c r="G481" s="144"/>
      <c r="H481" s="144"/>
      <c r="I481" s="144"/>
      <c r="J481" s="145"/>
      <c r="K481" s="145"/>
      <c r="L481" s="148"/>
      <c r="M481" s="155"/>
      <c r="N481" s="144"/>
      <c r="O481" s="144"/>
      <c r="P481" s="144"/>
      <c r="Q481" s="145"/>
      <c r="R481" s="145"/>
      <c r="S481" s="148"/>
      <c r="T481" s="147"/>
      <c r="U481" s="144"/>
      <c r="V481" s="144"/>
    </row>
    <row r="482" spans="1:22" ht="14" x14ac:dyDescent="0.15">
      <c r="A482" s="144"/>
      <c r="B482" s="144"/>
      <c r="C482" s="145"/>
      <c r="D482" s="145"/>
      <c r="E482" s="148"/>
      <c r="F482" s="147"/>
      <c r="G482" s="144"/>
      <c r="H482" s="144"/>
      <c r="I482" s="144"/>
      <c r="J482" s="145"/>
      <c r="K482" s="145"/>
      <c r="L482" s="148"/>
      <c r="M482" s="155"/>
      <c r="N482" s="144"/>
      <c r="O482" s="144"/>
      <c r="P482" s="144"/>
      <c r="Q482" s="145"/>
      <c r="R482" s="145"/>
      <c r="S482" s="148"/>
      <c r="T482" s="147"/>
      <c r="U482" s="144"/>
      <c r="V482" s="144"/>
    </row>
    <row r="483" spans="1:22" ht="14" x14ac:dyDescent="0.15">
      <c r="A483" s="144"/>
      <c r="B483" s="144"/>
      <c r="C483" s="145"/>
      <c r="D483" s="145"/>
      <c r="E483" s="148"/>
      <c r="F483" s="147"/>
      <c r="G483" s="144"/>
      <c r="H483" s="144"/>
      <c r="I483" s="144"/>
      <c r="J483" s="145"/>
      <c r="K483" s="145"/>
      <c r="L483" s="148"/>
      <c r="M483" s="155"/>
      <c r="N483" s="144"/>
      <c r="O483" s="144"/>
      <c r="P483" s="144"/>
      <c r="Q483" s="145"/>
      <c r="R483" s="145"/>
      <c r="S483" s="148"/>
      <c r="T483" s="147"/>
      <c r="U483" s="144"/>
      <c r="V483" s="144"/>
    </row>
    <row r="484" spans="1:22" ht="14" x14ac:dyDescent="0.15">
      <c r="A484" s="144"/>
      <c r="B484" s="144"/>
      <c r="C484" s="145"/>
      <c r="D484" s="145"/>
      <c r="E484" s="148"/>
      <c r="F484" s="147"/>
      <c r="G484" s="144"/>
      <c r="H484" s="144"/>
      <c r="I484" s="144"/>
      <c r="J484" s="145"/>
      <c r="K484" s="145"/>
      <c r="L484" s="148"/>
      <c r="M484" s="155"/>
      <c r="N484" s="144"/>
      <c r="O484" s="144"/>
      <c r="P484" s="144"/>
      <c r="Q484" s="145"/>
      <c r="R484" s="145"/>
      <c r="S484" s="148"/>
      <c r="T484" s="147"/>
      <c r="U484" s="144"/>
      <c r="V484" s="144"/>
    </row>
    <row r="485" spans="1:22" ht="14" x14ac:dyDescent="0.15">
      <c r="A485" s="144"/>
      <c r="B485" s="144"/>
      <c r="C485" s="145"/>
      <c r="D485" s="145"/>
      <c r="E485" s="148"/>
      <c r="F485" s="147"/>
      <c r="G485" s="144"/>
      <c r="H485" s="144"/>
      <c r="I485" s="144"/>
      <c r="J485" s="145"/>
      <c r="K485" s="145"/>
      <c r="L485" s="148"/>
      <c r="M485" s="155"/>
      <c r="N485" s="144"/>
      <c r="O485" s="144"/>
      <c r="P485" s="144"/>
      <c r="Q485" s="145"/>
      <c r="R485" s="145"/>
      <c r="S485" s="148"/>
      <c r="T485" s="147"/>
      <c r="U485" s="144"/>
      <c r="V485" s="144"/>
    </row>
    <row r="486" spans="1:22" ht="14" x14ac:dyDescent="0.15">
      <c r="A486" s="144"/>
      <c r="B486" s="144"/>
      <c r="C486" s="145"/>
      <c r="D486" s="145"/>
      <c r="E486" s="148"/>
      <c r="F486" s="147"/>
      <c r="G486" s="144"/>
      <c r="H486" s="144"/>
      <c r="I486" s="144"/>
      <c r="J486" s="145"/>
      <c r="K486" s="145"/>
      <c r="L486" s="148"/>
      <c r="M486" s="155"/>
      <c r="N486" s="144"/>
      <c r="O486" s="144"/>
      <c r="P486" s="144"/>
      <c r="Q486" s="145"/>
      <c r="R486" s="145"/>
      <c r="S486" s="148"/>
      <c r="T486" s="147"/>
      <c r="U486" s="144"/>
      <c r="V486" s="144"/>
    </row>
    <row r="487" spans="1:22" ht="14" x14ac:dyDescent="0.15">
      <c r="A487" s="144"/>
      <c r="B487" s="144"/>
      <c r="C487" s="145"/>
      <c r="D487" s="145"/>
      <c r="E487" s="148"/>
      <c r="F487" s="147"/>
      <c r="G487" s="144"/>
      <c r="H487" s="144"/>
      <c r="I487" s="144"/>
      <c r="J487" s="145"/>
      <c r="K487" s="145"/>
      <c r="L487" s="148"/>
      <c r="M487" s="155"/>
      <c r="N487" s="144"/>
      <c r="O487" s="144"/>
      <c r="P487" s="144"/>
      <c r="Q487" s="145"/>
      <c r="R487" s="145"/>
      <c r="S487" s="148"/>
      <c r="T487" s="147"/>
      <c r="U487" s="144"/>
      <c r="V487" s="144"/>
    </row>
    <row r="488" spans="1:22" ht="14" x14ac:dyDescent="0.15">
      <c r="A488" s="144"/>
      <c r="B488" s="144"/>
      <c r="C488" s="145"/>
      <c r="D488" s="145"/>
      <c r="E488" s="148"/>
      <c r="F488" s="147"/>
      <c r="G488" s="144"/>
      <c r="H488" s="144"/>
      <c r="I488" s="144"/>
      <c r="J488" s="145"/>
      <c r="K488" s="145"/>
      <c r="L488" s="148"/>
      <c r="M488" s="155"/>
      <c r="N488" s="144"/>
      <c r="O488" s="144"/>
      <c r="P488" s="144"/>
      <c r="Q488" s="145"/>
      <c r="R488" s="145"/>
      <c r="S488" s="148"/>
      <c r="T488" s="147"/>
      <c r="U488" s="144"/>
      <c r="V488" s="144"/>
    </row>
    <row r="489" spans="1:22" ht="14" x14ac:dyDescent="0.15">
      <c r="A489" s="144"/>
      <c r="B489" s="144"/>
      <c r="C489" s="145"/>
      <c r="D489" s="145"/>
      <c r="E489" s="148"/>
      <c r="F489" s="147"/>
      <c r="G489" s="144"/>
      <c r="H489" s="144"/>
      <c r="I489" s="144"/>
      <c r="J489" s="145"/>
      <c r="K489" s="145"/>
      <c r="L489" s="148"/>
      <c r="M489" s="155"/>
      <c r="N489" s="144"/>
      <c r="O489" s="144"/>
      <c r="P489" s="144"/>
      <c r="Q489" s="145"/>
      <c r="R489" s="145"/>
      <c r="S489" s="148"/>
      <c r="T489" s="147"/>
      <c r="U489" s="144"/>
      <c r="V489" s="144"/>
    </row>
    <row r="490" spans="1:22" ht="14" x14ac:dyDescent="0.15">
      <c r="A490" s="144"/>
      <c r="B490" s="144"/>
      <c r="C490" s="145"/>
      <c r="D490" s="145"/>
      <c r="E490" s="148"/>
      <c r="F490" s="147"/>
      <c r="G490" s="144"/>
      <c r="H490" s="144"/>
      <c r="I490" s="144"/>
      <c r="J490" s="145"/>
      <c r="K490" s="145"/>
      <c r="L490" s="148"/>
      <c r="M490" s="155"/>
      <c r="N490" s="144"/>
      <c r="O490" s="144"/>
      <c r="P490" s="144"/>
      <c r="Q490" s="145"/>
      <c r="R490" s="145"/>
      <c r="S490" s="148"/>
      <c r="T490" s="147"/>
      <c r="U490" s="144"/>
      <c r="V490" s="144"/>
    </row>
    <row r="491" spans="1:22" ht="14" x14ac:dyDescent="0.15">
      <c r="A491" s="144"/>
      <c r="B491" s="144"/>
      <c r="C491" s="145"/>
      <c r="D491" s="145"/>
      <c r="E491" s="148"/>
      <c r="F491" s="147"/>
      <c r="G491" s="144"/>
      <c r="H491" s="144"/>
      <c r="I491" s="144"/>
      <c r="J491" s="145"/>
      <c r="K491" s="145"/>
      <c r="L491" s="148"/>
      <c r="M491" s="155"/>
      <c r="N491" s="144"/>
      <c r="O491" s="144"/>
      <c r="P491" s="144"/>
      <c r="Q491" s="145"/>
      <c r="R491" s="145"/>
      <c r="S491" s="148"/>
      <c r="T491" s="147"/>
      <c r="U491" s="144"/>
      <c r="V491" s="144"/>
    </row>
    <row r="492" spans="1:22" ht="14" x14ac:dyDescent="0.15">
      <c r="A492" s="144"/>
      <c r="B492" s="144"/>
      <c r="C492" s="145"/>
      <c r="D492" s="145"/>
      <c r="E492" s="148"/>
      <c r="F492" s="147"/>
      <c r="G492" s="144"/>
      <c r="H492" s="144"/>
      <c r="I492" s="144"/>
      <c r="J492" s="145"/>
      <c r="K492" s="145"/>
      <c r="L492" s="148"/>
      <c r="M492" s="155"/>
      <c r="N492" s="144"/>
      <c r="O492" s="144"/>
      <c r="P492" s="144"/>
      <c r="Q492" s="145"/>
      <c r="R492" s="145"/>
      <c r="S492" s="148"/>
      <c r="T492" s="147"/>
      <c r="U492" s="144"/>
      <c r="V492" s="144"/>
    </row>
    <row r="493" spans="1:22" ht="14" x14ac:dyDescent="0.15">
      <c r="A493" s="144"/>
      <c r="B493" s="144"/>
      <c r="C493" s="145"/>
      <c r="D493" s="145"/>
      <c r="E493" s="148"/>
      <c r="F493" s="147"/>
      <c r="G493" s="144"/>
      <c r="H493" s="144"/>
      <c r="I493" s="144"/>
      <c r="J493" s="145"/>
      <c r="K493" s="145"/>
      <c r="L493" s="148"/>
      <c r="M493" s="155"/>
      <c r="N493" s="144"/>
      <c r="O493" s="144"/>
      <c r="P493" s="144"/>
      <c r="Q493" s="145"/>
      <c r="R493" s="145"/>
      <c r="S493" s="148"/>
      <c r="T493" s="147"/>
      <c r="U493" s="144"/>
      <c r="V493" s="144"/>
    </row>
    <row r="494" spans="1:22" ht="14" x14ac:dyDescent="0.15">
      <c r="A494" s="144"/>
      <c r="B494" s="144"/>
      <c r="C494" s="145"/>
      <c r="D494" s="145"/>
      <c r="E494" s="148"/>
      <c r="F494" s="147"/>
      <c r="G494" s="144"/>
      <c r="H494" s="144"/>
      <c r="I494" s="144"/>
      <c r="J494" s="145"/>
      <c r="K494" s="145"/>
      <c r="L494" s="148"/>
      <c r="M494" s="155"/>
      <c r="N494" s="144"/>
      <c r="O494" s="144"/>
      <c r="P494" s="144"/>
      <c r="Q494" s="145"/>
      <c r="R494" s="145"/>
      <c r="S494" s="148"/>
      <c r="T494" s="147"/>
      <c r="U494" s="144"/>
      <c r="V494" s="144"/>
    </row>
    <row r="495" spans="1:22" ht="14" x14ac:dyDescent="0.15">
      <c r="A495" s="144"/>
      <c r="B495" s="144"/>
      <c r="C495" s="145"/>
      <c r="D495" s="145"/>
      <c r="E495" s="148"/>
      <c r="F495" s="147"/>
      <c r="G495" s="144"/>
      <c r="H495" s="144"/>
      <c r="I495" s="144"/>
      <c r="J495" s="145"/>
      <c r="K495" s="145"/>
      <c r="L495" s="148"/>
      <c r="M495" s="155"/>
      <c r="N495" s="144"/>
      <c r="O495" s="144"/>
      <c r="P495" s="144"/>
      <c r="Q495" s="145"/>
      <c r="R495" s="145"/>
      <c r="S495" s="148"/>
      <c r="T495" s="147"/>
      <c r="U495" s="144"/>
      <c r="V495" s="144"/>
    </row>
    <row r="496" spans="1:22" ht="14" x14ac:dyDescent="0.15">
      <c r="A496" s="144"/>
      <c r="B496" s="144"/>
      <c r="C496" s="145"/>
      <c r="D496" s="145"/>
      <c r="E496" s="148"/>
      <c r="F496" s="147"/>
      <c r="G496" s="144"/>
      <c r="H496" s="144"/>
      <c r="I496" s="144"/>
      <c r="J496" s="145"/>
      <c r="K496" s="145"/>
      <c r="L496" s="148"/>
      <c r="M496" s="155"/>
      <c r="N496" s="144"/>
      <c r="O496" s="144"/>
      <c r="P496" s="144"/>
      <c r="Q496" s="145"/>
      <c r="R496" s="145"/>
      <c r="S496" s="148"/>
      <c r="T496" s="147"/>
      <c r="U496" s="144"/>
      <c r="V496" s="144"/>
    </row>
    <row r="497" spans="1:22" ht="14" x14ac:dyDescent="0.15">
      <c r="A497" s="144"/>
      <c r="B497" s="144"/>
      <c r="C497" s="145"/>
      <c r="D497" s="145"/>
      <c r="E497" s="148"/>
      <c r="F497" s="147"/>
      <c r="G497" s="144"/>
      <c r="H497" s="144"/>
      <c r="I497" s="144"/>
      <c r="J497" s="145"/>
      <c r="K497" s="145"/>
      <c r="L497" s="148"/>
      <c r="M497" s="155"/>
      <c r="N497" s="144"/>
      <c r="O497" s="144"/>
      <c r="P497" s="144"/>
      <c r="Q497" s="145"/>
      <c r="R497" s="145"/>
      <c r="S497" s="148"/>
      <c r="T497" s="147"/>
      <c r="U497" s="144"/>
      <c r="V497" s="144"/>
    </row>
    <row r="498" spans="1:22" ht="14" x14ac:dyDescent="0.15">
      <c r="A498" s="144"/>
      <c r="B498" s="144"/>
      <c r="C498" s="145"/>
      <c r="D498" s="145"/>
      <c r="E498" s="148"/>
      <c r="F498" s="147"/>
      <c r="G498" s="144"/>
      <c r="H498" s="144"/>
      <c r="I498" s="144"/>
      <c r="J498" s="145"/>
      <c r="K498" s="145"/>
      <c r="L498" s="148"/>
      <c r="M498" s="155"/>
      <c r="N498" s="144"/>
      <c r="O498" s="144"/>
      <c r="P498" s="144"/>
      <c r="Q498" s="145"/>
      <c r="R498" s="145"/>
      <c r="S498" s="148"/>
      <c r="T498" s="147"/>
      <c r="U498" s="144"/>
      <c r="V498" s="144"/>
    </row>
    <row r="499" spans="1:22" ht="14" x14ac:dyDescent="0.15">
      <c r="A499" s="144"/>
      <c r="B499" s="144"/>
      <c r="C499" s="145"/>
      <c r="D499" s="145"/>
      <c r="E499" s="148"/>
      <c r="F499" s="147"/>
      <c r="G499" s="144"/>
      <c r="H499" s="144"/>
      <c r="I499" s="144"/>
      <c r="J499" s="145"/>
      <c r="K499" s="145"/>
      <c r="L499" s="148"/>
      <c r="M499" s="155"/>
      <c r="N499" s="144"/>
      <c r="O499" s="144"/>
      <c r="P499" s="144"/>
      <c r="Q499" s="145"/>
      <c r="R499" s="145"/>
      <c r="S499" s="148"/>
      <c r="T499" s="147"/>
      <c r="U499" s="144"/>
      <c r="V499" s="144"/>
    </row>
    <row r="500" spans="1:22" ht="14" x14ac:dyDescent="0.15">
      <c r="A500" s="144"/>
      <c r="B500" s="144"/>
      <c r="C500" s="145"/>
      <c r="D500" s="145"/>
      <c r="E500" s="148"/>
      <c r="F500" s="147"/>
      <c r="G500" s="144"/>
      <c r="H500" s="144"/>
      <c r="I500" s="144"/>
      <c r="J500" s="145"/>
      <c r="K500" s="145"/>
      <c r="L500" s="148"/>
      <c r="M500" s="155"/>
      <c r="N500" s="144"/>
      <c r="O500" s="144"/>
      <c r="P500" s="144"/>
      <c r="Q500" s="145"/>
      <c r="R500" s="145"/>
      <c r="S500" s="148"/>
      <c r="T500" s="147"/>
      <c r="U500" s="144"/>
      <c r="V500" s="144"/>
    </row>
    <row r="501" spans="1:22" ht="14" x14ac:dyDescent="0.15">
      <c r="A501" s="144"/>
      <c r="B501" s="144"/>
      <c r="C501" s="145"/>
      <c r="D501" s="145"/>
      <c r="E501" s="148"/>
      <c r="F501" s="147"/>
      <c r="G501" s="144"/>
      <c r="H501" s="144"/>
      <c r="I501" s="144"/>
      <c r="J501" s="145"/>
      <c r="K501" s="145"/>
      <c r="L501" s="148"/>
      <c r="M501" s="155"/>
      <c r="N501" s="144"/>
      <c r="O501" s="144"/>
      <c r="P501" s="144"/>
      <c r="Q501" s="145"/>
      <c r="R501" s="145"/>
      <c r="S501" s="148"/>
      <c r="T501" s="147"/>
      <c r="U501" s="144"/>
      <c r="V501" s="144"/>
    </row>
    <row r="502" spans="1:22" ht="14" x14ac:dyDescent="0.15">
      <c r="A502" s="144"/>
      <c r="B502" s="144"/>
      <c r="C502" s="145"/>
      <c r="D502" s="145"/>
      <c r="E502" s="148"/>
      <c r="F502" s="147"/>
      <c r="G502" s="144"/>
      <c r="H502" s="144"/>
      <c r="I502" s="144"/>
      <c r="J502" s="145"/>
      <c r="K502" s="145"/>
      <c r="L502" s="148"/>
      <c r="M502" s="155"/>
      <c r="N502" s="144"/>
      <c r="O502" s="144"/>
      <c r="P502" s="144"/>
      <c r="Q502" s="145"/>
      <c r="R502" s="145"/>
      <c r="S502" s="148"/>
      <c r="T502" s="147"/>
      <c r="U502" s="144"/>
      <c r="V502" s="144"/>
    </row>
    <row r="503" spans="1:22" ht="14" x14ac:dyDescent="0.15">
      <c r="A503" s="144"/>
      <c r="B503" s="144"/>
      <c r="C503" s="145"/>
      <c r="D503" s="145"/>
      <c r="E503" s="148"/>
      <c r="F503" s="147"/>
      <c r="G503" s="144"/>
      <c r="H503" s="144"/>
      <c r="I503" s="144"/>
      <c r="J503" s="145"/>
      <c r="K503" s="145"/>
      <c r="L503" s="148"/>
      <c r="M503" s="155"/>
      <c r="N503" s="144"/>
      <c r="O503" s="144"/>
      <c r="P503" s="144"/>
      <c r="Q503" s="145"/>
      <c r="R503" s="145"/>
      <c r="S503" s="148"/>
      <c r="T503" s="147"/>
      <c r="U503" s="144"/>
      <c r="V503" s="144"/>
    </row>
    <row r="504" spans="1:22" ht="14" x14ac:dyDescent="0.15">
      <c r="A504" s="144"/>
      <c r="B504" s="144"/>
      <c r="C504" s="145"/>
      <c r="D504" s="145"/>
      <c r="E504" s="148"/>
      <c r="F504" s="147"/>
      <c r="G504" s="144"/>
      <c r="H504" s="144"/>
      <c r="I504" s="144"/>
      <c r="J504" s="145"/>
      <c r="K504" s="145"/>
      <c r="L504" s="148"/>
      <c r="M504" s="155"/>
      <c r="N504" s="144"/>
      <c r="O504" s="144"/>
      <c r="P504" s="144"/>
      <c r="Q504" s="145"/>
      <c r="R504" s="145"/>
      <c r="S504" s="148"/>
      <c r="T504" s="147"/>
      <c r="U504" s="144"/>
      <c r="V504" s="144"/>
    </row>
    <row r="505" spans="1:22" ht="14" x14ac:dyDescent="0.15">
      <c r="A505" s="144"/>
      <c r="B505" s="144"/>
      <c r="C505" s="145"/>
      <c r="D505" s="145"/>
      <c r="E505" s="148"/>
      <c r="F505" s="147"/>
      <c r="G505" s="144"/>
      <c r="H505" s="144"/>
      <c r="I505" s="144"/>
      <c r="J505" s="145"/>
      <c r="K505" s="145"/>
      <c r="L505" s="148"/>
      <c r="M505" s="155"/>
      <c r="N505" s="144"/>
      <c r="O505" s="144"/>
      <c r="P505" s="144"/>
      <c r="Q505" s="145"/>
      <c r="R505" s="145"/>
      <c r="S505" s="148"/>
      <c r="T505" s="147"/>
      <c r="U505" s="144"/>
      <c r="V505" s="144"/>
    </row>
    <row r="506" spans="1:22" ht="14" x14ac:dyDescent="0.15">
      <c r="A506" s="144"/>
      <c r="B506" s="144"/>
      <c r="C506" s="145"/>
      <c r="D506" s="145"/>
      <c r="E506" s="148"/>
      <c r="F506" s="147"/>
      <c r="G506" s="144"/>
      <c r="H506" s="144"/>
      <c r="I506" s="144"/>
      <c r="J506" s="145"/>
      <c r="K506" s="145"/>
      <c r="L506" s="148"/>
      <c r="M506" s="155"/>
      <c r="N506" s="144"/>
      <c r="O506" s="144"/>
      <c r="P506" s="144"/>
      <c r="Q506" s="145"/>
      <c r="R506" s="145"/>
      <c r="S506" s="148"/>
      <c r="T506" s="147"/>
      <c r="U506" s="144"/>
      <c r="V506" s="144"/>
    </row>
    <row r="507" spans="1:22" ht="14" x14ac:dyDescent="0.15">
      <c r="A507" s="144"/>
      <c r="B507" s="144"/>
      <c r="C507" s="145"/>
      <c r="D507" s="145"/>
      <c r="E507" s="148"/>
      <c r="F507" s="147"/>
      <c r="G507" s="144"/>
      <c r="H507" s="144"/>
      <c r="I507" s="144"/>
      <c r="J507" s="145"/>
      <c r="K507" s="145"/>
      <c r="L507" s="148"/>
      <c r="M507" s="155"/>
      <c r="N507" s="144"/>
      <c r="O507" s="144"/>
      <c r="P507" s="144"/>
      <c r="Q507" s="145"/>
      <c r="R507" s="145"/>
      <c r="S507" s="148"/>
      <c r="T507" s="147"/>
      <c r="U507" s="144"/>
      <c r="V507" s="144"/>
    </row>
    <row r="508" spans="1:22" ht="14" x14ac:dyDescent="0.15">
      <c r="A508" s="144"/>
      <c r="B508" s="144"/>
      <c r="C508" s="145"/>
      <c r="D508" s="145"/>
      <c r="E508" s="148"/>
      <c r="F508" s="147"/>
      <c r="G508" s="144"/>
      <c r="H508" s="144"/>
      <c r="I508" s="144"/>
      <c r="J508" s="145"/>
      <c r="K508" s="145"/>
      <c r="L508" s="148"/>
      <c r="M508" s="155"/>
      <c r="N508" s="144"/>
      <c r="O508" s="144"/>
      <c r="P508" s="144"/>
      <c r="Q508" s="145"/>
      <c r="R508" s="145"/>
      <c r="S508" s="148"/>
      <c r="T508" s="147"/>
      <c r="U508" s="144"/>
      <c r="V508" s="144"/>
    </row>
    <row r="509" spans="1:22" ht="14" x14ac:dyDescent="0.15">
      <c r="A509" s="144"/>
      <c r="B509" s="144"/>
      <c r="C509" s="145"/>
      <c r="D509" s="145"/>
      <c r="E509" s="148"/>
      <c r="F509" s="147"/>
      <c r="G509" s="144"/>
      <c r="H509" s="144"/>
      <c r="I509" s="144"/>
      <c r="J509" s="145"/>
      <c r="K509" s="145"/>
      <c r="L509" s="148"/>
      <c r="M509" s="155"/>
      <c r="N509" s="144"/>
      <c r="O509" s="144"/>
      <c r="P509" s="144"/>
      <c r="Q509" s="145"/>
      <c r="R509" s="145"/>
      <c r="S509" s="148"/>
      <c r="T509" s="147"/>
      <c r="U509" s="144"/>
      <c r="V509" s="144"/>
    </row>
    <row r="510" spans="1:22" ht="14" x14ac:dyDescent="0.15">
      <c r="A510" s="144"/>
      <c r="B510" s="144"/>
      <c r="C510" s="145"/>
      <c r="D510" s="145"/>
      <c r="E510" s="148"/>
      <c r="F510" s="147"/>
      <c r="G510" s="144"/>
      <c r="H510" s="144"/>
      <c r="I510" s="144"/>
      <c r="J510" s="145"/>
      <c r="K510" s="145"/>
      <c r="L510" s="148"/>
      <c r="M510" s="155"/>
      <c r="N510" s="144"/>
      <c r="O510" s="144"/>
      <c r="P510" s="144"/>
      <c r="Q510" s="145"/>
      <c r="R510" s="145"/>
      <c r="S510" s="148"/>
      <c r="T510" s="147"/>
      <c r="U510" s="144"/>
      <c r="V510" s="144"/>
    </row>
    <row r="511" spans="1:22" ht="14" x14ac:dyDescent="0.15">
      <c r="A511" s="144"/>
      <c r="B511" s="144"/>
      <c r="C511" s="145"/>
      <c r="D511" s="145"/>
      <c r="E511" s="148"/>
      <c r="F511" s="147"/>
      <c r="G511" s="144"/>
      <c r="H511" s="144"/>
      <c r="I511" s="144"/>
      <c r="J511" s="145"/>
      <c r="K511" s="145"/>
      <c r="L511" s="148"/>
      <c r="M511" s="155"/>
      <c r="N511" s="144"/>
      <c r="O511" s="144"/>
      <c r="P511" s="144"/>
      <c r="Q511" s="145"/>
      <c r="R511" s="145"/>
      <c r="S511" s="148"/>
      <c r="T511" s="147"/>
      <c r="U511" s="144"/>
      <c r="V511" s="144"/>
    </row>
    <row r="512" spans="1:22" ht="14" x14ac:dyDescent="0.15">
      <c r="A512" s="144"/>
      <c r="B512" s="144"/>
      <c r="C512" s="145"/>
      <c r="D512" s="145"/>
      <c r="E512" s="148"/>
      <c r="F512" s="147"/>
      <c r="G512" s="144"/>
      <c r="H512" s="144"/>
      <c r="I512" s="144"/>
      <c r="J512" s="145"/>
      <c r="K512" s="145"/>
      <c r="L512" s="148"/>
      <c r="M512" s="155"/>
      <c r="N512" s="144"/>
      <c r="O512" s="144"/>
      <c r="P512" s="144"/>
      <c r="Q512" s="145"/>
      <c r="R512" s="145"/>
      <c r="S512" s="148"/>
      <c r="T512" s="147"/>
      <c r="U512" s="144"/>
      <c r="V512" s="144"/>
    </row>
    <row r="513" spans="1:22" ht="14" x14ac:dyDescent="0.15">
      <c r="A513" s="144"/>
      <c r="B513" s="144"/>
      <c r="C513" s="145"/>
      <c r="D513" s="145"/>
      <c r="E513" s="148"/>
      <c r="F513" s="147"/>
      <c r="G513" s="144"/>
      <c r="H513" s="144"/>
      <c r="I513" s="144"/>
      <c r="J513" s="145"/>
      <c r="K513" s="145"/>
      <c r="L513" s="148"/>
      <c r="M513" s="155"/>
      <c r="N513" s="144"/>
      <c r="O513" s="144"/>
      <c r="P513" s="144"/>
      <c r="Q513" s="145"/>
      <c r="R513" s="145"/>
      <c r="S513" s="148"/>
      <c r="T513" s="147"/>
      <c r="U513" s="144"/>
      <c r="V513" s="144"/>
    </row>
    <row r="514" spans="1:22" ht="14" x14ac:dyDescent="0.15">
      <c r="A514" s="144"/>
      <c r="B514" s="144"/>
      <c r="C514" s="145"/>
      <c r="D514" s="145"/>
      <c r="E514" s="148"/>
      <c r="F514" s="147"/>
      <c r="G514" s="144"/>
      <c r="H514" s="144"/>
      <c r="I514" s="144"/>
      <c r="J514" s="145"/>
      <c r="K514" s="145"/>
      <c r="L514" s="148"/>
      <c r="M514" s="155"/>
      <c r="N514" s="144"/>
      <c r="O514" s="144"/>
      <c r="P514" s="144"/>
      <c r="Q514" s="145"/>
      <c r="R514" s="145"/>
      <c r="S514" s="148"/>
      <c r="T514" s="147"/>
      <c r="U514" s="144"/>
      <c r="V514" s="144"/>
    </row>
    <row r="515" spans="1:22" ht="14" x14ac:dyDescent="0.15">
      <c r="A515" s="144"/>
      <c r="B515" s="144"/>
      <c r="C515" s="145"/>
      <c r="D515" s="145"/>
      <c r="E515" s="148"/>
      <c r="F515" s="147"/>
      <c r="G515" s="144"/>
      <c r="H515" s="144"/>
      <c r="I515" s="144"/>
      <c r="J515" s="145"/>
      <c r="K515" s="145"/>
      <c r="L515" s="148"/>
      <c r="M515" s="155"/>
      <c r="N515" s="144"/>
      <c r="O515" s="144"/>
      <c r="P515" s="144"/>
      <c r="Q515" s="145"/>
      <c r="R515" s="145"/>
      <c r="S515" s="148"/>
      <c r="T515" s="147"/>
      <c r="U515" s="144"/>
      <c r="V515" s="144"/>
    </row>
    <row r="516" spans="1:22" ht="14" x14ac:dyDescent="0.15">
      <c r="A516" s="144"/>
      <c r="B516" s="144"/>
      <c r="C516" s="145"/>
      <c r="D516" s="145"/>
      <c r="E516" s="148"/>
      <c r="F516" s="147"/>
      <c r="G516" s="144"/>
      <c r="H516" s="144"/>
      <c r="I516" s="144"/>
      <c r="J516" s="145"/>
      <c r="K516" s="145"/>
      <c r="L516" s="148"/>
      <c r="M516" s="155"/>
      <c r="N516" s="144"/>
      <c r="O516" s="144"/>
      <c r="P516" s="144"/>
      <c r="Q516" s="145"/>
      <c r="R516" s="145"/>
      <c r="S516" s="148"/>
      <c r="T516" s="147"/>
      <c r="U516" s="144"/>
      <c r="V516" s="144"/>
    </row>
    <row r="517" spans="1:22" ht="14" x14ac:dyDescent="0.15">
      <c r="A517" s="144"/>
      <c r="B517" s="144"/>
      <c r="C517" s="145"/>
      <c r="D517" s="145"/>
      <c r="E517" s="148"/>
      <c r="F517" s="147"/>
      <c r="G517" s="144"/>
      <c r="H517" s="144"/>
      <c r="I517" s="144"/>
      <c r="J517" s="145"/>
      <c r="K517" s="145"/>
      <c r="L517" s="148"/>
      <c r="M517" s="155"/>
      <c r="N517" s="144"/>
      <c r="O517" s="144"/>
      <c r="P517" s="144"/>
      <c r="Q517" s="145"/>
      <c r="R517" s="145"/>
      <c r="S517" s="148"/>
      <c r="T517" s="147"/>
      <c r="U517" s="144"/>
      <c r="V517" s="144"/>
    </row>
    <row r="518" spans="1:22" ht="14" x14ac:dyDescent="0.15">
      <c r="A518" s="144"/>
      <c r="B518" s="144"/>
      <c r="C518" s="145"/>
      <c r="D518" s="145"/>
      <c r="E518" s="148"/>
      <c r="F518" s="147"/>
      <c r="G518" s="144"/>
      <c r="H518" s="144"/>
      <c r="I518" s="144"/>
      <c r="J518" s="145"/>
      <c r="K518" s="145"/>
      <c r="L518" s="148"/>
      <c r="M518" s="155"/>
      <c r="N518" s="144"/>
      <c r="O518" s="144"/>
      <c r="P518" s="144"/>
      <c r="Q518" s="145"/>
      <c r="R518" s="145"/>
      <c r="S518" s="148"/>
      <c r="T518" s="147"/>
      <c r="U518" s="144"/>
      <c r="V518" s="144"/>
    </row>
    <row r="519" spans="1:22" ht="14" x14ac:dyDescent="0.15">
      <c r="A519" s="144"/>
      <c r="B519" s="144"/>
      <c r="C519" s="145"/>
      <c r="D519" s="145"/>
      <c r="E519" s="148"/>
      <c r="F519" s="147"/>
      <c r="G519" s="144"/>
      <c r="H519" s="144"/>
      <c r="I519" s="144"/>
      <c r="J519" s="145"/>
      <c r="K519" s="145"/>
      <c r="L519" s="148"/>
      <c r="M519" s="155"/>
      <c r="N519" s="144"/>
      <c r="O519" s="144"/>
      <c r="P519" s="144"/>
      <c r="Q519" s="145"/>
      <c r="R519" s="145"/>
      <c r="S519" s="148"/>
      <c r="T519" s="147"/>
      <c r="U519" s="144"/>
      <c r="V519" s="144"/>
    </row>
    <row r="520" spans="1:22" ht="14" x14ac:dyDescent="0.15">
      <c r="A520" s="144"/>
      <c r="B520" s="144"/>
      <c r="C520" s="145"/>
      <c r="D520" s="145"/>
      <c r="E520" s="148"/>
      <c r="F520" s="147"/>
      <c r="G520" s="144"/>
      <c r="H520" s="144"/>
      <c r="I520" s="144"/>
      <c r="J520" s="145"/>
      <c r="K520" s="145"/>
      <c r="L520" s="148"/>
      <c r="M520" s="155"/>
      <c r="N520" s="144"/>
      <c r="O520" s="144"/>
      <c r="P520" s="144"/>
      <c r="Q520" s="145"/>
      <c r="R520" s="145"/>
      <c r="S520" s="148"/>
      <c r="T520" s="147"/>
      <c r="U520" s="144"/>
      <c r="V520" s="144"/>
    </row>
    <row r="521" spans="1:22" ht="14" x14ac:dyDescent="0.15">
      <c r="A521" s="144"/>
      <c r="B521" s="144"/>
      <c r="C521" s="145"/>
      <c r="D521" s="145"/>
      <c r="E521" s="148"/>
      <c r="F521" s="147"/>
      <c r="G521" s="144"/>
      <c r="H521" s="144"/>
      <c r="I521" s="144"/>
      <c r="J521" s="145"/>
      <c r="K521" s="145"/>
      <c r="L521" s="148"/>
      <c r="M521" s="155"/>
      <c r="N521" s="144"/>
      <c r="O521" s="144"/>
      <c r="P521" s="144"/>
      <c r="Q521" s="145"/>
      <c r="R521" s="145"/>
      <c r="S521" s="148"/>
      <c r="T521" s="147"/>
      <c r="U521" s="144"/>
      <c r="V521" s="144"/>
    </row>
    <row r="522" spans="1:22" ht="14" x14ac:dyDescent="0.15">
      <c r="A522" s="144"/>
      <c r="B522" s="144"/>
      <c r="C522" s="145"/>
      <c r="D522" s="145"/>
      <c r="E522" s="148"/>
      <c r="F522" s="147"/>
      <c r="G522" s="144"/>
      <c r="H522" s="144"/>
      <c r="I522" s="144"/>
      <c r="J522" s="145"/>
      <c r="K522" s="145"/>
      <c r="L522" s="148"/>
      <c r="M522" s="155"/>
      <c r="N522" s="144"/>
      <c r="O522" s="144"/>
      <c r="P522" s="144"/>
      <c r="Q522" s="145"/>
      <c r="R522" s="145"/>
      <c r="S522" s="148"/>
      <c r="T522" s="147"/>
      <c r="U522" s="144"/>
      <c r="V522" s="144"/>
    </row>
    <row r="523" spans="1:22" ht="14" x14ac:dyDescent="0.15">
      <c r="A523" s="144"/>
      <c r="B523" s="144"/>
      <c r="C523" s="145"/>
      <c r="D523" s="145"/>
      <c r="E523" s="148"/>
      <c r="F523" s="147"/>
      <c r="G523" s="144"/>
      <c r="H523" s="144"/>
      <c r="I523" s="144"/>
      <c r="J523" s="145"/>
      <c r="K523" s="145"/>
      <c r="L523" s="148"/>
      <c r="M523" s="155"/>
      <c r="N523" s="144"/>
      <c r="O523" s="144"/>
      <c r="P523" s="144"/>
      <c r="Q523" s="145"/>
      <c r="R523" s="145"/>
      <c r="S523" s="148"/>
      <c r="T523" s="147"/>
      <c r="U523" s="144"/>
      <c r="V523" s="144"/>
    </row>
    <row r="524" spans="1:22" ht="14" x14ac:dyDescent="0.15">
      <c r="A524" s="144"/>
      <c r="B524" s="144"/>
      <c r="C524" s="145"/>
      <c r="D524" s="145"/>
      <c r="E524" s="148"/>
      <c r="F524" s="147"/>
      <c r="G524" s="144"/>
      <c r="H524" s="144"/>
      <c r="I524" s="144"/>
      <c r="J524" s="145"/>
      <c r="K524" s="145"/>
      <c r="L524" s="148"/>
      <c r="M524" s="155"/>
      <c r="N524" s="144"/>
      <c r="O524" s="144"/>
      <c r="P524" s="144"/>
      <c r="Q524" s="145"/>
      <c r="R524" s="145"/>
      <c r="S524" s="148"/>
      <c r="T524" s="147"/>
      <c r="U524" s="144"/>
      <c r="V524" s="144"/>
    </row>
    <row r="525" spans="1:22" ht="14" x14ac:dyDescent="0.15">
      <c r="A525" s="144"/>
      <c r="B525" s="144"/>
      <c r="C525" s="145"/>
      <c r="D525" s="145"/>
      <c r="E525" s="148"/>
      <c r="F525" s="147"/>
      <c r="G525" s="144"/>
      <c r="H525" s="144"/>
      <c r="I525" s="144"/>
      <c r="J525" s="145"/>
      <c r="K525" s="145"/>
      <c r="L525" s="148"/>
      <c r="M525" s="155"/>
      <c r="N525" s="144"/>
      <c r="O525" s="144"/>
      <c r="P525" s="144"/>
      <c r="Q525" s="145"/>
      <c r="R525" s="145"/>
      <c r="S525" s="148"/>
      <c r="T525" s="147"/>
      <c r="U525" s="144"/>
      <c r="V525" s="144"/>
    </row>
    <row r="526" spans="1:22" ht="14" x14ac:dyDescent="0.15">
      <c r="A526" s="144"/>
      <c r="B526" s="144"/>
      <c r="C526" s="145"/>
      <c r="D526" s="145"/>
      <c r="E526" s="148"/>
      <c r="F526" s="147"/>
      <c r="G526" s="144"/>
      <c r="H526" s="144"/>
      <c r="I526" s="144"/>
      <c r="J526" s="145"/>
      <c r="K526" s="145"/>
      <c r="L526" s="148"/>
      <c r="M526" s="155"/>
      <c r="N526" s="144"/>
      <c r="O526" s="144"/>
      <c r="P526" s="144"/>
      <c r="Q526" s="145"/>
      <c r="R526" s="145"/>
      <c r="S526" s="148"/>
      <c r="T526" s="147"/>
      <c r="U526" s="144"/>
      <c r="V526" s="144"/>
    </row>
    <row r="527" spans="1:22" ht="14" x14ac:dyDescent="0.15">
      <c r="A527" s="144"/>
      <c r="B527" s="144"/>
      <c r="C527" s="145"/>
      <c r="D527" s="145"/>
      <c r="E527" s="148"/>
      <c r="F527" s="147"/>
      <c r="G527" s="144"/>
      <c r="H527" s="144"/>
      <c r="I527" s="144"/>
      <c r="J527" s="145"/>
      <c r="K527" s="145"/>
      <c r="L527" s="148"/>
      <c r="M527" s="155"/>
      <c r="N527" s="144"/>
      <c r="O527" s="144"/>
      <c r="P527" s="144"/>
      <c r="Q527" s="145"/>
      <c r="R527" s="145"/>
      <c r="S527" s="148"/>
      <c r="T527" s="147"/>
      <c r="U527" s="144"/>
      <c r="V527" s="144"/>
    </row>
    <row r="528" spans="1:22" ht="14" x14ac:dyDescent="0.15">
      <c r="A528" s="144"/>
      <c r="B528" s="144"/>
      <c r="C528" s="145"/>
      <c r="D528" s="145"/>
      <c r="E528" s="148"/>
      <c r="F528" s="147"/>
      <c r="G528" s="144"/>
      <c r="H528" s="144"/>
      <c r="I528" s="144"/>
      <c r="J528" s="145"/>
      <c r="K528" s="145"/>
      <c r="L528" s="148"/>
      <c r="M528" s="155"/>
      <c r="N528" s="144"/>
      <c r="O528" s="144"/>
      <c r="P528" s="144"/>
      <c r="Q528" s="145"/>
      <c r="R528" s="145"/>
      <c r="S528" s="148"/>
      <c r="T528" s="147"/>
      <c r="U528" s="144"/>
      <c r="V528" s="144"/>
    </row>
    <row r="529" spans="1:22" ht="14" x14ac:dyDescent="0.15">
      <c r="A529" s="144"/>
      <c r="B529" s="144"/>
      <c r="C529" s="145"/>
      <c r="D529" s="145"/>
      <c r="E529" s="148"/>
      <c r="F529" s="147"/>
      <c r="G529" s="144"/>
      <c r="H529" s="144"/>
      <c r="I529" s="144"/>
      <c r="J529" s="145"/>
      <c r="K529" s="145"/>
      <c r="L529" s="148"/>
      <c r="M529" s="155"/>
      <c r="N529" s="144"/>
      <c r="O529" s="144"/>
      <c r="P529" s="144"/>
      <c r="Q529" s="145"/>
      <c r="R529" s="145"/>
      <c r="S529" s="148"/>
      <c r="T529" s="147"/>
      <c r="U529" s="144"/>
      <c r="V529" s="144"/>
    </row>
    <row r="530" spans="1:22" ht="14" x14ac:dyDescent="0.15">
      <c r="A530" s="144"/>
      <c r="B530" s="144"/>
      <c r="C530" s="145"/>
      <c r="D530" s="145"/>
      <c r="E530" s="148"/>
      <c r="F530" s="147"/>
      <c r="G530" s="144"/>
      <c r="H530" s="144"/>
      <c r="I530" s="144"/>
      <c r="J530" s="145"/>
      <c r="K530" s="145"/>
      <c r="L530" s="148"/>
      <c r="M530" s="155"/>
      <c r="N530" s="144"/>
      <c r="O530" s="144"/>
      <c r="P530" s="144"/>
      <c r="Q530" s="145"/>
      <c r="R530" s="145"/>
      <c r="S530" s="148"/>
      <c r="T530" s="147"/>
      <c r="U530" s="144"/>
      <c r="V530" s="144"/>
    </row>
    <row r="531" spans="1:22" ht="14" x14ac:dyDescent="0.15">
      <c r="A531" s="144"/>
      <c r="B531" s="144"/>
      <c r="C531" s="145"/>
      <c r="D531" s="145"/>
      <c r="E531" s="148"/>
      <c r="F531" s="147"/>
      <c r="G531" s="144"/>
      <c r="H531" s="144"/>
      <c r="I531" s="144"/>
      <c r="J531" s="145"/>
      <c r="K531" s="145"/>
      <c r="L531" s="148"/>
      <c r="M531" s="155"/>
      <c r="N531" s="144"/>
      <c r="O531" s="144"/>
      <c r="P531" s="144"/>
      <c r="Q531" s="145"/>
      <c r="R531" s="145"/>
      <c r="S531" s="148"/>
      <c r="T531" s="147"/>
      <c r="U531" s="144"/>
      <c r="V531" s="144"/>
    </row>
    <row r="532" spans="1:22" ht="14" x14ac:dyDescent="0.15">
      <c r="A532" s="144"/>
      <c r="B532" s="144"/>
      <c r="C532" s="145"/>
      <c r="D532" s="145"/>
      <c r="E532" s="148"/>
      <c r="F532" s="147"/>
      <c r="G532" s="144"/>
      <c r="H532" s="144"/>
      <c r="I532" s="144"/>
      <c r="J532" s="145"/>
      <c r="K532" s="145"/>
      <c r="L532" s="148"/>
      <c r="M532" s="155"/>
      <c r="N532" s="144"/>
      <c r="O532" s="144"/>
      <c r="P532" s="144"/>
      <c r="Q532" s="145"/>
      <c r="R532" s="145"/>
      <c r="S532" s="148"/>
      <c r="T532" s="147"/>
      <c r="U532" s="144"/>
      <c r="V532" s="144"/>
    </row>
    <row r="533" spans="1:22" ht="14" x14ac:dyDescent="0.15">
      <c r="A533" s="144"/>
      <c r="B533" s="144"/>
      <c r="C533" s="145"/>
      <c r="D533" s="145"/>
      <c r="E533" s="148"/>
      <c r="F533" s="147"/>
      <c r="G533" s="144"/>
      <c r="H533" s="144"/>
      <c r="I533" s="144"/>
      <c r="J533" s="145"/>
      <c r="K533" s="145"/>
      <c r="L533" s="148"/>
      <c r="M533" s="155"/>
      <c r="N533" s="144"/>
      <c r="O533" s="144"/>
      <c r="P533" s="144"/>
      <c r="Q533" s="145"/>
      <c r="R533" s="145"/>
      <c r="S533" s="148"/>
      <c r="T533" s="147"/>
      <c r="U533" s="144"/>
      <c r="V533" s="144"/>
    </row>
    <row r="534" spans="1:22" ht="14" x14ac:dyDescent="0.15">
      <c r="A534" s="144"/>
      <c r="B534" s="144"/>
      <c r="C534" s="145"/>
      <c r="D534" s="145"/>
      <c r="E534" s="148"/>
      <c r="F534" s="147"/>
      <c r="G534" s="144"/>
      <c r="H534" s="144"/>
      <c r="I534" s="144"/>
      <c r="J534" s="145"/>
      <c r="K534" s="145"/>
      <c r="L534" s="148"/>
      <c r="M534" s="155"/>
      <c r="N534" s="144"/>
      <c r="O534" s="144"/>
      <c r="P534" s="144"/>
      <c r="Q534" s="145"/>
      <c r="R534" s="145"/>
      <c r="S534" s="148"/>
      <c r="T534" s="147"/>
      <c r="U534" s="144"/>
      <c r="V534" s="144"/>
    </row>
    <row r="535" spans="1:22" ht="14" x14ac:dyDescent="0.15">
      <c r="A535" s="144"/>
      <c r="B535" s="144"/>
      <c r="C535" s="145"/>
      <c r="D535" s="145"/>
      <c r="E535" s="148"/>
      <c r="F535" s="147"/>
      <c r="G535" s="144"/>
      <c r="H535" s="144"/>
      <c r="I535" s="144"/>
      <c r="J535" s="145"/>
      <c r="K535" s="145"/>
      <c r="L535" s="148"/>
      <c r="M535" s="155"/>
      <c r="N535" s="144"/>
      <c r="O535" s="144"/>
      <c r="P535" s="144"/>
      <c r="Q535" s="145"/>
      <c r="R535" s="145"/>
      <c r="S535" s="148"/>
      <c r="T535" s="147"/>
      <c r="U535" s="144"/>
      <c r="V535" s="144"/>
    </row>
    <row r="536" spans="1:22" ht="14" x14ac:dyDescent="0.15">
      <c r="A536" s="144"/>
      <c r="B536" s="144"/>
      <c r="C536" s="145"/>
      <c r="D536" s="145"/>
      <c r="E536" s="148"/>
      <c r="F536" s="147"/>
      <c r="G536" s="144"/>
      <c r="H536" s="144"/>
      <c r="I536" s="144"/>
      <c r="J536" s="145"/>
      <c r="K536" s="145"/>
      <c r="L536" s="148"/>
      <c r="M536" s="155"/>
      <c r="N536" s="144"/>
      <c r="O536" s="144"/>
      <c r="P536" s="144"/>
      <c r="Q536" s="145"/>
      <c r="R536" s="145"/>
      <c r="S536" s="148"/>
      <c r="T536" s="147"/>
      <c r="U536" s="144"/>
      <c r="V536" s="144"/>
    </row>
    <row r="537" spans="1:22" ht="14" x14ac:dyDescent="0.15">
      <c r="A537" s="144"/>
      <c r="B537" s="144"/>
      <c r="C537" s="145"/>
      <c r="D537" s="145"/>
      <c r="E537" s="148"/>
      <c r="F537" s="147"/>
      <c r="G537" s="144"/>
      <c r="H537" s="144"/>
      <c r="I537" s="144"/>
      <c r="J537" s="145"/>
      <c r="K537" s="145"/>
      <c r="L537" s="148"/>
      <c r="M537" s="155"/>
      <c r="N537" s="144"/>
      <c r="O537" s="144"/>
      <c r="P537" s="144"/>
      <c r="Q537" s="145"/>
      <c r="R537" s="145"/>
      <c r="S537" s="148"/>
      <c r="T537" s="147"/>
      <c r="U537" s="144"/>
      <c r="V537" s="144"/>
    </row>
    <row r="538" spans="1:22" ht="14" x14ac:dyDescent="0.15">
      <c r="A538" s="144"/>
      <c r="B538" s="144"/>
      <c r="C538" s="145"/>
      <c r="D538" s="145"/>
      <c r="E538" s="148"/>
      <c r="F538" s="147"/>
      <c r="G538" s="144"/>
      <c r="H538" s="144"/>
      <c r="I538" s="144"/>
      <c r="J538" s="145"/>
      <c r="K538" s="145"/>
      <c r="L538" s="148"/>
      <c r="M538" s="155"/>
      <c r="N538" s="144"/>
      <c r="O538" s="144"/>
      <c r="P538" s="144"/>
      <c r="Q538" s="145"/>
      <c r="R538" s="145"/>
      <c r="S538" s="148"/>
      <c r="T538" s="147"/>
      <c r="U538" s="144"/>
      <c r="V538" s="144"/>
    </row>
    <row r="539" spans="1:22" ht="14" x14ac:dyDescent="0.15">
      <c r="A539" s="144"/>
      <c r="B539" s="144"/>
      <c r="C539" s="145"/>
      <c r="D539" s="145"/>
      <c r="E539" s="148"/>
      <c r="F539" s="147"/>
      <c r="G539" s="144"/>
      <c r="H539" s="144"/>
      <c r="I539" s="144"/>
      <c r="J539" s="145"/>
      <c r="K539" s="145"/>
      <c r="L539" s="148"/>
      <c r="M539" s="155"/>
      <c r="N539" s="144"/>
      <c r="O539" s="144"/>
      <c r="P539" s="144"/>
      <c r="Q539" s="145"/>
      <c r="R539" s="145"/>
      <c r="S539" s="148"/>
      <c r="T539" s="147"/>
      <c r="U539" s="144"/>
      <c r="V539" s="144"/>
    </row>
    <row r="540" spans="1:22" ht="14" x14ac:dyDescent="0.15">
      <c r="A540" s="144"/>
      <c r="B540" s="144"/>
      <c r="C540" s="145"/>
      <c r="D540" s="145"/>
      <c r="E540" s="148"/>
      <c r="F540" s="147"/>
      <c r="G540" s="144"/>
      <c r="H540" s="144"/>
      <c r="I540" s="144"/>
      <c r="J540" s="145"/>
      <c r="K540" s="145"/>
      <c r="L540" s="148"/>
      <c r="M540" s="155"/>
      <c r="N540" s="144"/>
      <c r="O540" s="144"/>
      <c r="P540" s="144"/>
      <c r="Q540" s="145"/>
      <c r="R540" s="145"/>
      <c r="S540" s="148"/>
      <c r="T540" s="147"/>
      <c r="U540" s="144"/>
      <c r="V540" s="144"/>
    </row>
    <row r="541" spans="1:22" ht="14" x14ac:dyDescent="0.15">
      <c r="A541" s="144"/>
      <c r="B541" s="144"/>
      <c r="C541" s="145"/>
      <c r="D541" s="145"/>
      <c r="E541" s="148"/>
      <c r="F541" s="147"/>
      <c r="G541" s="144"/>
      <c r="H541" s="144"/>
      <c r="I541" s="144"/>
      <c r="J541" s="145"/>
      <c r="K541" s="145"/>
      <c r="L541" s="148"/>
      <c r="M541" s="155"/>
      <c r="N541" s="144"/>
      <c r="O541" s="144"/>
      <c r="P541" s="144"/>
      <c r="Q541" s="145"/>
      <c r="R541" s="145"/>
      <c r="S541" s="148"/>
      <c r="T541" s="147"/>
      <c r="U541" s="144"/>
      <c r="V541" s="144"/>
    </row>
    <row r="542" spans="1:22" ht="14" x14ac:dyDescent="0.15">
      <c r="A542" s="144"/>
      <c r="B542" s="144"/>
      <c r="C542" s="145"/>
      <c r="D542" s="145"/>
      <c r="E542" s="148"/>
      <c r="F542" s="147"/>
      <c r="G542" s="144"/>
      <c r="H542" s="144"/>
      <c r="I542" s="144"/>
      <c r="J542" s="145"/>
      <c r="K542" s="145"/>
      <c r="L542" s="148"/>
      <c r="M542" s="155"/>
      <c r="N542" s="144"/>
      <c r="O542" s="144"/>
      <c r="P542" s="144"/>
      <c r="Q542" s="145"/>
      <c r="R542" s="145"/>
      <c r="S542" s="148"/>
      <c r="T542" s="147"/>
      <c r="U542" s="144"/>
      <c r="V542" s="144"/>
    </row>
    <row r="543" spans="1:22" ht="14" x14ac:dyDescent="0.15">
      <c r="A543" s="144"/>
      <c r="B543" s="144"/>
      <c r="C543" s="145"/>
      <c r="D543" s="145"/>
      <c r="E543" s="148"/>
      <c r="F543" s="147"/>
      <c r="G543" s="144"/>
      <c r="H543" s="144"/>
      <c r="I543" s="144"/>
      <c r="J543" s="145"/>
      <c r="K543" s="145"/>
      <c r="L543" s="148"/>
      <c r="M543" s="155"/>
      <c r="N543" s="144"/>
      <c r="O543" s="144"/>
      <c r="P543" s="144"/>
      <c r="Q543" s="145"/>
      <c r="R543" s="145"/>
      <c r="S543" s="148"/>
      <c r="T543" s="147"/>
      <c r="U543" s="144"/>
      <c r="V543" s="144"/>
    </row>
    <row r="544" spans="1:22" ht="14" x14ac:dyDescent="0.15">
      <c r="A544" s="144"/>
      <c r="B544" s="144"/>
      <c r="C544" s="145"/>
      <c r="D544" s="145"/>
      <c r="E544" s="148"/>
      <c r="F544" s="147"/>
      <c r="G544" s="144"/>
      <c r="H544" s="144"/>
      <c r="I544" s="144"/>
      <c r="J544" s="145"/>
      <c r="K544" s="145"/>
      <c r="L544" s="148"/>
      <c r="M544" s="155"/>
      <c r="N544" s="144"/>
      <c r="O544" s="144"/>
      <c r="P544" s="144"/>
      <c r="Q544" s="145"/>
      <c r="R544" s="145"/>
      <c r="S544" s="148"/>
      <c r="T544" s="147"/>
      <c r="U544" s="144"/>
      <c r="V544" s="144"/>
    </row>
    <row r="545" spans="1:22" ht="14" x14ac:dyDescent="0.15">
      <c r="A545" s="144"/>
      <c r="B545" s="144"/>
      <c r="C545" s="145"/>
      <c r="D545" s="145"/>
      <c r="E545" s="148"/>
      <c r="F545" s="147"/>
      <c r="G545" s="144"/>
      <c r="H545" s="144"/>
      <c r="I545" s="144"/>
      <c r="J545" s="145"/>
      <c r="K545" s="145"/>
      <c r="L545" s="148"/>
      <c r="M545" s="155"/>
      <c r="N545" s="144"/>
      <c r="O545" s="144"/>
      <c r="P545" s="144"/>
      <c r="Q545" s="145"/>
      <c r="R545" s="145"/>
      <c r="S545" s="148"/>
      <c r="T545" s="147"/>
      <c r="U545" s="144"/>
      <c r="V545" s="144"/>
    </row>
    <row r="546" spans="1:22" ht="14" x14ac:dyDescent="0.15">
      <c r="A546" s="144"/>
      <c r="B546" s="144"/>
      <c r="C546" s="145"/>
      <c r="D546" s="145"/>
      <c r="E546" s="148"/>
      <c r="F546" s="147"/>
      <c r="G546" s="144"/>
      <c r="H546" s="144"/>
      <c r="I546" s="144"/>
      <c r="J546" s="145"/>
      <c r="K546" s="145"/>
      <c r="L546" s="148"/>
      <c r="M546" s="155"/>
      <c r="N546" s="144"/>
      <c r="O546" s="144"/>
      <c r="P546" s="144"/>
      <c r="Q546" s="145"/>
      <c r="R546" s="145"/>
      <c r="S546" s="148"/>
      <c r="T546" s="147"/>
      <c r="U546" s="144"/>
      <c r="V546" s="144"/>
    </row>
    <row r="547" spans="1:22" ht="14" x14ac:dyDescent="0.15">
      <c r="A547" s="144"/>
      <c r="B547" s="144"/>
      <c r="C547" s="145"/>
      <c r="D547" s="145"/>
      <c r="E547" s="148"/>
      <c r="F547" s="147"/>
      <c r="G547" s="144"/>
      <c r="H547" s="144"/>
      <c r="I547" s="144"/>
      <c r="J547" s="145"/>
      <c r="K547" s="145"/>
      <c r="L547" s="148"/>
      <c r="M547" s="155"/>
      <c r="N547" s="144"/>
      <c r="O547" s="144"/>
      <c r="P547" s="144"/>
      <c r="Q547" s="145"/>
      <c r="R547" s="145"/>
      <c r="S547" s="148"/>
      <c r="T547" s="147"/>
      <c r="U547" s="144"/>
      <c r="V547" s="144"/>
    </row>
    <row r="548" spans="1:22" ht="14" x14ac:dyDescent="0.15">
      <c r="A548" s="144"/>
      <c r="B548" s="144"/>
      <c r="C548" s="145"/>
      <c r="D548" s="145"/>
      <c r="E548" s="148"/>
      <c r="F548" s="147"/>
      <c r="G548" s="144"/>
      <c r="H548" s="144"/>
      <c r="I548" s="144"/>
      <c r="J548" s="145"/>
      <c r="K548" s="145"/>
      <c r="L548" s="148"/>
      <c r="M548" s="155"/>
      <c r="N548" s="144"/>
      <c r="O548" s="144"/>
      <c r="P548" s="144"/>
      <c r="Q548" s="145"/>
      <c r="R548" s="145"/>
      <c r="S548" s="148"/>
      <c r="T548" s="147"/>
      <c r="U548" s="144"/>
      <c r="V548" s="144"/>
    </row>
    <row r="549" spans="1:22" ht="14" x14ac:dyDescent="0.15">
      <c r="A549" s="144"/>
      <c r="B549" s="144"/>
      <c r="C549" s="145"/>
      <c r="D549" s="145"/>
      <c r="E549" s="148"/>
      <c r="F549" s="147"/>
      <c r="G549" s="144"/>
      <c r="H549" s="144"/>
      <c r="I549" s="144"/>
      <c r="J549" s="145"/>
      <c r="K549" s="145"/>
      <c r="L549" s="148"/>
      <c r="M549" s="155"/>
      <c r="N549" s="144"/>
      <c r="O549" s="144"/>
      <c r="P549" s="144"/>
      <c r="Q549" s="145"/>
      <c r="R549" s="145"/>
      <c r="S549" s="148"/>
      <c r="T549" s="147"/>
      <c r="U549" s="144"/>
      <c r="V549" s="144"/>
    </row>
    <row r="550" spans="1:22" ht="14" x14ac:dyDescent="0.15">
      <c r="A550" s="144"/>
      <c r="B550" s="144"/>
      <c r="C550" s="145"/>
      <c r="D550" s="145"/>
      <c r="E550" s="148"/>
      <c r="F550" s="147"/>
      <c r="G550" s="144"/>
      <c r="H550" s="144"/>
      <c r="I550" s="144"/>
      <c r="J550" s="145"/>
      <c r="K550" s="145"/>
      <c r="L550" s="148"/>
      <c r="M550" s="155"/>
      <c r="N550" s="144"/>
      <c r="O550" s="144"/>
      <c r="P550" s="144"/>
      <c r="Q550" s="145"/>
      <c r="R550" s="145"/>
      <c r="S550" s="148"/>
      <c r="T550" s="147"/>
      <c r="U550" s="144"/>
      <c r="V550" s="144"/>
    </row>
    <row r="551" spans="1:22" ht="14" x14ac:dyDescent="0.15">
      <c r="A551" s="144"/>
      <c r="B551" s="144"/>
      <c r="C551" s="145"/>
      <c r="D551" s="145"/>
      <c r="E551" s="148"/>
      <c r="F551" s="147"/>
      <c r="G551" s="144"/>
      <c r="H551" s="144"/>
      <c r="I551" s="144"/>
      <c r="J551" s="145"/>
      <c r="K551" s="145"/>
      <c r="L551" s="148"/>
      <c r="M551" s="155"/>
      <c r="N551" s="144"/>
      <c r="O551" s="144"/>
      <c r="P551" s="144"/>
      <c r="Q551" s="145"/>
      <c r="R551" s="145"/>
      <c r="S551" s="148"/>
      <c r="T551" s="147"/>
      <c r="U551" s="144"/>
      <c r="V551" s="144"/>
    </row>
    <row r="552" spans="1:22" ht="14" x14ac:dyDescent="0.15">
      <c r="A552" s="144"/>
      <c r="B552" s="144"/>
      <c r="C552" s="145"/>
      <c r="D552" s="145"/>
      <c r="E552" s="148"/>
      <c r="F552" s="147"/>
      <c r="G552" s="144"/>
      <c r="H552" s="144"/>
      <c r="I552" s="144"/>
      <c r="J552" s="145"/>
      <c r="K552" s="145"/>
      <c r="L552" s="148"/>
      <c r="M552" s="155"/>
      <c r="N552" s="144"/>
      <c r="O552" s="144"/>
      <c r="P552" s="144"/>
      <c r="Q552" s="145"/>
      <c r="R552" s="145"/>
      <c r="S552" s="148"/>
      <c r="T552" s="147"/>
      <c r="U552" s="144"/>
      <c r="V552" s="144"/>
    </row>
    <row r="553" spans="1:22" ht="14" x14ac:dyDescent="0.15">
      <c r="A553" s="144"/>
      <c r="B553" s="144"/>
      <c r="C553" s="145"/>
      <c r="D553" s="145"/>
      <c r="E553" s="148"/>
      <c r="F553" s="147"/>
      <c r="G553" s="144"/>
      <c r="H553" s="144"/>
      <c r="I553" s="144"/>
      <c r="J553" s="145"/>
      <c r="K553" s="145"/>
      <c r="L553" s="148"/>
      <c r="M553" s="155"/>
      <c r="N553" s="144"/>
      <c r="O553" s="144"/>
      <c r="P553" s="144"/>
      <c r="Q553" s="145"/>
      <c r="R553" s="145"/>
      <c r="S553" s="148"/>
      <c r="T553" s="147"/>
      <c r="U553" s="144"/>
      <c r="V553" s="144"/>
    </row>
    <row r="554" spans="1:22" ht="14" x14ac:dyDescent="0.15">
      <c r="A554" s="144"/>
      <c r="B554" s="144"/>
      <c r="C554" s="145"/>
      <c r="D554" s="145"/>
      <c r="E554" s="148"/>
      <c r="F554" s="147"/>
      <c r="G554" s="144"/>
      <c r="H554" s="144"/>
      <c r="I554" s="144"/>
      <c r="J554" s="145"/>
      <c r="K554" s="145"/>
      <c r="L554" s="148"/>
      <c r="M554" s="155"/>
      <c r="N554" s="144"/>
      <c r="O554" s="144"/>
      <c r="P554" s="144"/>
      <c r="Q554" s="145"/>
      <c r="R554" s="145"/>
      <c r="S554" s="148"/>
      <c r="T554" s="147"/>
      <c r="U554" s="144"/>
      <c r="V554" s="144"/>
    </row>
    <row r="555" spans="1:22" ht="14" x14ac:dyDescent="0.15">
      <c r="A555" s="144"/>
      <c r="B555" s="144"/>
      <c r="C555" s="145"/>
      <c r="D555" s="145"/>
      <c r="E555" s="148"/>
      <c r="F555" s="147"/>
      <c r="G555" s="144"/>
      <c r="H555" s="144"/>
      <c r="I555" s="144"/>
      <c r="J555" s="145"/>
      <c r="K555" s="145"/>
      <c r="L555" s="148"/>
      <c r="M555" s="155"/>
      <c r="N555" s="144"/>
      <c r="O555" s="144"/>
      <c r="P555" s="144"/>
      <c r="Q555" s="145"/>
      <c r="R555" s="145"/>
      <c r="S555" s="148"/>
      <c r="T555" s="147"/>
      <c r="U555" s="144"/>
      <c r="V555" s="144"/>
    </row>
    <row r="556" spans="1:22" ht="14" x14ac:dyDescent="0.15">
      <c r="A556" s="144"/>
      <c r="B556" s="144"/>
      <c r="C556" s="145"/>
      <c r="D556" s="145"/>
      <c r="E556" s="148"/>
      <c r="F556" s="147"/>
      <c r="G556" s="144"/>
      <c r="H556" s="144"/>
      <c r="I556" s="144"/>
      <c r="J556" s="145"/>
      <c r="K556" s="145"/>
      <c r="L556" s="148"/>
      <c r="M556" s="155"/>
      <c r="N556" s="144"/>
      <c r="O556" s="144"/>
      <c r="P556" s="144"/>
      <c r="Q556" s="145"/>
      <c r="R556" s="145"/>
      <c r="S556" s="148"/>
      <c r="T556" s="147"/>
      <c r="U556" s="144"/>
      <c r="V556" s="144"/>
    </row>
    <row r="557" spans="1:22" ht="14" x14ac:dyDescent="0.15">
      <c r="A557" s="144"/>
      <c r="B557" s="144"/>
      <c r="C557" s="145"/>
      <c r="D557" s="145"/>
      <c r="E557" s="148"/>
      <c r="F557" s="147"/>
      <c r="G557" s="144"/>
      <c r="H557" s="144"/>
      <c r="I557" s="144"/>
      <c r="J557" s="145"/>
      <c r="K557" s="145"/>
      <c r="L557" s="148"/>
      <c r="M557" s="155"/>
      <c r="N557" s="144"/>
      <c r="O557" s="144"/>
      <c r="P557" s="144"/>
      <c r="Q557" s="145"/>
      <c r="R557" s="145"/>
      <c r="S557" s="148"/>
      <c r="T557" s="147"/>
      <c r="U557" s="144"/>
      <c r="V557" s="144"/>
    </row>
    <row r="558" spans="1:22" ht="14" x14ac:dyDescent="0.15">
      <c r="A558" s="144"/>
      <c r="B558" s="144"/>
      <c r="C558" s="145"/>
      <c r="D558" s="145"/>
      <c r="E558" s="148"/>
      <c r="F558" s="147"/>
      <c r="G558" s="144"/>
      <c r="H558" s="144"/>
      <c r="I558" s="144"/>
      <c r="J558" s="145"/>
      <c r="K558" s="145"/>
      <c r="L558" s="148"/>
      <c r="M558" s="155"/>
      <c r="N558" s="144"/>
      <c r="O558" s="144"/>
      <c r="P558" s="144"/>
      <c r="Q558" s="145"/>
      <c r="R558" s="145"/>
      <c r="S558" s="148"/>
      <c r="T558" s="147"/>
      <c r="U558" s="144"/>
      <c r="V558" s="144"/>
    </row>
    <row r="559" spans="1:22" ht="14" x14ac:dyDescent="0.15">
      <c r="A559" s="144"/>
      <c r="B559" s="144"/>
      <c r="C559" s="145"/>
      <c r="D559" s="145"/>
      <c r="E559" s="148"/>
      <c r="F559" s="147"/>
      <c r="G559" s="144"/>
      <c r="H559" s="144"/>
      <c r="I559" s="144"/>
      <c r="J559" s="145"/>
      <c r="K559" s="145"/>
      <c r="L559" s="148"/>
      <c r="M559" s="155"/>
      <c r="N559" s="144"/>
      <c r="O559" s="144"/>
      <c r="P559" s="144"/>
      <c r="Q559" s="145"/>
      <c r="R559" s="145"/>
      <c r="S559" s="148"/>
      <c r="T559" s="147"/>
      <c r="U559" s="144"/>
      <c r="V559" s="144"/>
    </row>
    <row r="560" spans="1:22" ht="14" x14ac:dyDescent="0.15">
      <c r="A560" s="144"/>
      <c r="B560" s="144"/>
      <c r="C560" s="145"/>
      <c r="D560" s="145"/>
      <c r="E560" s="148"/>
      <c r="F560" s="147"/>
      <c r="G560" s="144"/>
      <c r="H560" s="144"/>
      <c r="I560" s="144"/>
      <c r="J560" s="145"/>
      <c r="K560" s="145"/>
      <c r="L560" s="148"/>
      <c r="M560" s="155"/>
      <c r="N560" s="144"/>
      <c r="O560" s="144"/>
      <c r="P560" s="144"/>
      <c r="Q560" s="145"/>
      <c r="R560" s="145"/>
      <c r="S560" s="148"/>
      <c r="T560" s="147"/>
      <c r="U560" s="144"/>
      <c r="V560" s="144"/>
    </row>
    <row r="561" spans="1:22" ht="14" x14ac:dyDescent="0.15">
      <c r="A561" s="144"/>
      <c r="B561" s="144"/>
      <c r="C561" s="145"/>
      <c r="D561" s="145"/>
      <c r="E561" s="148"/>
      <c r="F561" s="147"/>
      <c r="G561" s="144"/>
      <c r="H561" s="144"/>
      <c r="I561" s="144"/>
      <c r="J561" s="145"/>
      <c r="K561" s="145"/>
      <c r="L561" s="148"/>
      <c r="M561" s="155"/>
      <c r="N561" s="144"/>
      <c r="O561" s="144"/>
      <c r="P561" s="144"/>
      <c r="Q561" s="145"/>
      <c r="R561" s="145"/>
      <c r="S561" s="148"/>
      <c r="T561" s="147"/>
      <c r="U561" s="144"/>
      <c r="V561" s="144"/>
    </row>
    <row r="562" spans="1:22" ht="14" x14ac:dyDescent="0.15">
      <c r="A562" s="144"/>
      <c r="B562" s="144"/>
      <c r="C562" s="145"/>
      <c r="D562" s="145"/>
      <c r="E562" s="148"/>
      <c r="F562" s="147"/>
      <c r="G562" s="144"/>
      <c r="H562" s="144"/>
      <c r="I562" s="144"/>
      <c r="J562" s="145"/>
      <c r="K562" s="145"/>
      <c r="L562" s="148"/>
      <c r="M562" s="155"/>
      <c r="N562" s="144"/>
      <c r="O562" s="144"/>
      <c r="P562" s="144"/>
      <c r="Q562" s="145"/>
      <c r="R562" s="145"/>
      <c r="S562" s="148"/>
      <c r="T562" s="147"/>
      <c r="U562" s="144"/>
      <c r="V562" s="144"/>
    </row>
    <row r="563" spans="1:22" ht="14" x14ac:dyDescent="0.15">
      <c r="A563" s="144"/>
      <c r="B563" s="144"/>
      <c r="C563" s="145"/>
      <c r="D563" s="145"/>
      <c r="E563" s="148"/>
      <c r="F563" s="147"/>
      <c r="G563" s="144"/>
      <c r="H563" s="144"/>
      <c r="I563" s="144"/>
      <c r="J563" s="145"/>
      <c r="K563" s="145"/>
      <c r="L563" s="148"/>
      <c r="M563" s="155"/>
      <c r="N563" s="144"/>
      <c r="O563" s="144"/>
      <c r="P563" s="144"/>
      <c r="Q563" s="145"/>
      <c r="R563" s="145"/>
      <c r="S563" s="148"/>
      <c r="T563" s="147"/>
      <c r="U563" s="144"/>
      <c r="V563" s="144"/>
    </row>
    <row r="564" spans="1:22" ht="14" x14ac:dyDescent="0.15">
      <c r="A564" s="144"/>
      <c r="B564" s="144"/>
      <c r="C564" s="145"/>
      <c r="D564" s="145"/>
      <c r="E564" s="148"/>
      <c r="F564" s="147"/>
      <c r="G564" s="144"/>
      <c r="H564" s="144"/>
      <c r="I564" s="144"/>
      <c r="J564" s="145"/>
      <c r="K564" s="145"/>
      <c r="L564" s="148"/>
      <c r="M564" s="155"/>
      <c r="N564" s="144"/>
      <c r="O564" s="144"/>
      <c r="P564" s="144"/>
      <c r="Q564" s="145"/>
      <c r="R564" s="145"/>
      <c r="S564" s="148"/>
      <c r="T564" s="147"/>
      <c r="U564" s="144"/>
      <c r="V564" s="144"/>
    </row>
    <row r="565" spans="1:22" ht="14" x14ac:dyDescent="0.15">
      <c r="A565" s="144"/>
      <c r="B565" s="144"/>
      <c r="C565" s="145"/>
      <c r="D565" s="145"/>
      <c r="E565" s="148"/>
      <c r="F565" s="147"/>
      <c r="G565" s="144"/>
      <c r="H565" s="144"/>
      <c r="I565" s="144"/>
      <c r="J565" s="145"/>
      <c r="K565" s="145"/>
      <c r="L565" s="148"/>
      <c r="M565" s="155"/>
      <c r="N565" s="144"/>
      <c r="O565" s="144"/>
      <c r="P565" s="144"/>
      <c r="Q565" s="145"/>
      <c r="R565" s="145"/>
      <c r="S565" s="148"/>
      <c r="T565" s="147"/>
      <c r="U565" s="144"/>
      <c r="V565" s="144"/>
    </row>
    <row r="566" spans="1:22" ht="14" x14ac:dyDescent="0.15">
      <c r="A566" s="144"/>
      <c r="B566" s="144"/>
      <c r="C566" s="145"/>
      <c r="D566" s="145"/>
      <c r="E566" s="148"/>
      <c r="F566" s="147"/>
      <c r="G566" s="144"/>
      <c r="H566" s="144"/>
      <c r="I566" s="144"/>
      <c r="J566" s="145"/>
      <c r="K566" s="145"/>
      <c r="L566" s="148"/>
      <c r="M566" s="155"/>
      <c r="N566" s="144"/>
      <c r="O566" s="144"/>
      <c r="P566" s="144"/>
      <c r="Q566" s="145"/>
      <c r="R566" s="145"/>
      <c r="S566" s="148"/>
      <c r="T566" s="147"/>
      <c r="U566" s="144"/>
      <c r="V566" s="144"/>
    </row>
    <row r="567" spans="1:22" ht="14" x14ac:dyDescent="0.15">
      <c r="A567" s="144"/>
      <c r="B567" s="144"/>
      <c r="C567" s="145"/>
      <c r="D567" s="145"/>
      <c r="E567" s="148"/>
      <c r="F567" s="147"/>
      <c r="G567" s="144"/>
      <c r="H567" s="144"/>
      <c r="I567" s="144"/>
      <c r="J567" s="145"/>
      <c r="K567" s="145"/>
      <c r="L567" s="148"/>
      <c r="M567" s="155"/>
      <c r="N567" s="144"/>
      <c r="O567" s="144"/>
      <c r="P567" s="144"/>
      <c r="Q567" s="145"/>
      <c r="R567" s="145"/>
      <c r="S567" s="148"/>
      <c r="T567" s="147"/>
      <c r="U567" s="144"/>
      <c r="V567" s="144"/>
    </row>
    <row r="568" spans="1:22" ht="14" x14ac:dyDescent="0.15">
      <c r="A568" s="144"/>
      <c r="B568" s="144"/>
      <c r="C568" s="145"/>
      <c r="D568" s="145"/>
      <c r="E568" s="148"/>
      <c r="F568" s="147"/>
      <c r="G568" s="144"/>
      <c r="H568" s="144"/>
      <c r="I568" s="144"/>
      <c r="J568" s="145"/>
      <c r="K568" s="145"/>
      <c r="L568" s="148"/>
      <c r="M568" s="155"/>
      <c r="N568" s="144"/>
      <c r="O568" s="144"/>
      <c r="P568" s="144"/>
      <c r="Q568" s="145"/>
      <c r="R568" s="145"/>
      <c r="S568" s="148"/>
      <c r="T568" s="147"/>
      <c r="U568" s="144"/>
      <c r="V568" s="144"/>
    </row>
    <row r="569" spans="1:22" ht="14" x14ac:dyDescent="0.15">
      <c r="A569" s="144"/>
      <c r="B569" s="144"/>
      <c r="C569" s="145"/>
      <c r="D569" s="145"/>
      <c r="E569" s="148"/>
      <c r="F569" s="147"/>
      <c r="G569" s="144"/>
      <c r="H569" s="144"/>
      <c r="I569" s="144"/>
      <c r="J569" s="145"/>
      <c r="K569" s="145"/>
      <c r="L569" s="148"/>
      <c r="M569" s="155"/>
      <c r="N569" s="144"/>
      <c r="O569" s="144"/>
      <c r="P569" s="144"/>
      <c r="Q569" s="145"/>
      <c r="R569" s="145"/>
      <c r="S569" s="148"/>
      <c r="T569" s="147"/>
      <c r="U569" s="144"/>
      <c r="V569" s="144"/>
    </row>
    <row r="570" spans="1:22" ht="14" x14ac:dyDescent="0.15">
      <c r="A570" s="144"/>
      <c r="B570" s="144"/>
      <c r="C570" s="145"/>
      <c r="D570" s="145"/>
      <c r="E570" s="148"/>
      <c r="F570" s="147"/>
      <c r="G570" s="144"/>
      <c r="H570" s="144"/>
      <c r="I570" s="144"/>
      <c r="J570" s="145"/>
      <c r="K570" s="145"/>
      <c r="L570" s="148"/>
      <c r="M570" s="155"/>
      <c r="N570" s="144"/>
      <c r="O570" s="144"/>
      <c r="P570" s="144"/>
      <c r="Q570" s="145"/>
      <c r="R570" s="145"/>
      <c r="S570" s="148"/>
      <c r="T570" s="147"/>
      <c r="U570" s="144"/>
      <c r="V570" s="144"/>
    </row>
    <row r="571" spans="1:22" ht="14" x14ac:dyDescent="0.15">
      <c r="A571" s="144"/>
      <c r="B571" s="144"/>
      <c r="C571" s="145"/>
      <c r="D571" s="145"/>
      <c r="E571" s="148"/>
      <c r="F571" s="147"/>
      <c r="G571" s="144"/>
      <c r="H571" s="144"/>
      <c r="I571" s="144"/>
      <c r="J571" s="145"/>
      <c r="K571" s="145"/>
      <c r="L571" s="148"/>
      <c r="M571" s="155"/>
      <c r="N571" s="144"/>
      <c r="O571" s="144"/>
      <c r="P571" s="144"/>
      <c r="Q571" s="145"/>
      <c r="R571" s="145"/>
      <c r="S571" s="148"/>
      <c r="T571" s="147"/>
      <c r="U571" s="144"/>
      <c r="V571" s="144"/>
    </row>
    <row r="572" spans="1:22" ht="14" x14ac:dyDescent="0.15">
      <c r="A572" s="144"/>
      <c r="B572" s="144"/>
      <c r="C572" s="145"/>
      <c r="D572" s="145"/>
      <c r="E572" s="148"/>
      <c r="F572" s="147"/>
      <c r="G572" s="144"/>
      <c r="H572" s="144"/>
      <c r="I572" s="144"/>
      <c r="J572" s="145"/>
      <c r="K572" s="145"/>
      <c r="L572" s="148"/>
      <c r="M572" s="155"/>
      <c r="N572" s="144"/>
      <c r="O572" s="144"/>
      <c r="P572" s="144"/>
      <c r="Q572" s="145"/>
      <c r="R572" s="145"/>
      <c r="S572" s="148"/>
      <c r="T572" s="147"/>
      <c r="U572" s="144"/>
      <c r="V572" s="144"/>
    </row>
    <row r="573" spans="1:22" ht="14" x14ac:dyDescent="0.15">
      <c r="A573" s="144"/>
      <c r="B573" s="144"/>
      <c r="C573" s="145"/>
      <c r="D573" s="145"/>
      <c r="E573" s="148"/>
      <c r="F573" s="147"/>
      <c r="G573" s="144"/>
      <c r="H573" s="144"/>
      <c r="I573" s="144"/>
      <c r="J573" s="145"/>
      <c r="K573" s="145"/>
      <c r="L573" s="148"/>
      <c r="M573" s="155"/>
      <c r="N573" s="144"/>
      <c r="O573" s="144"/>
      <c r="P573" s="144"/>
      <c r="Q573" s="145"/>
      <c r="R573" s="145"/>
      <c r="S573" s="148"/>
      <c r="T573" s="147"/>
      <c r="U573" s="144"/>
      <c r="V573" s="144"/>
    </row>
    <row r="574" spans="1:22" ht="14" x14ac:dyDescent="0.15">
      <c r="A574" s="144"/>
      <c r="B574" s="144"/>
      <c r="C574" s="145"/>
      <c r="D574" s="145"/>
      <c r="E574" s="148"/>
      <c r="F574" s="147"/>
      <c r="G574" s="144"/>
      <c r="H574" s="144"/>
      <c r="I574" s="144"/>
      <c r="J574" s="145"/>
      <c r="K574" s="145"/>
      <c r="L574" s="148"/>
      <c r="M574" s="155"/>
      <c r="N574" s="144"/>
      <c r="O574" s="144"/>
      <c r="P574" s="144"/>
      <c r="Q574" s="145"/>
      <c r="R574" s="145"/>
      <c r="S574" s="148"/>
      <c r="T574" s="147"/>
      <c r="U574" s="144"/>
      <c r="V574" s="144"/>
    </row>
    <row r="575" spans="1:22" ht="14" x14ac:dyDescent="0.15">
      <c r="A575" s="144"/>
      <c r="B575" s="144"/>
      <c r="C575" s="145"/>
      <c r="D575" s="145"/>
      <c r="E575" s="148"/>
      <c r="F575" s="147"/>
      <c r="G575" s="144"/>
      <c r="H575" s="144"/>
      <c r="I575" s="144"/>
      <c r="J575" s="145"/>
      <c r="K575" s="145"/>
      <c r="L575" s="148"/>
      <c r="M575" s="155"/>
      <c r="N575" s="144"/>
      <c r="O575" s="144"/>
      <c r="P575" s="144"/>
      <c r="Q575" s="145"/>
      <c r="R575" s="145"/>
      <c r="S575" s="148"/>
      <c r="T575" s="147"/>
      <c r="U575" s="144"/>
      <c r="V575" s="144"/>
    </row>
    <row r="576" spans="1:22" ht="14" x14ac:dyDescent="0.15">
      <c r="A576" s="144"/>
      <c r="B576" s="144"/>
      <c r="C576" s="145"/>
      <c r="D576" s="145"/>
      <c r="E576" s="148"/>
      <c r="F576" s="147"/>
      <c r="G576" s="144"/>
      <c r="H576" s="144"/>
      <c r="I576" s="144"/>
      <c r="J576" s="145"/>
      <c r="K576" s="145"/>
      <c r="L576" s="148"/>
      <c r="M576" s="155"/>
      <c r="N576" s="144"/>
      <c r="O576" s="144"/>
      <c r="P576" s="144"/>
      <c r="Q576" s="145"/>
      <c r="R576" s="145"/>
      <c r="S576" s="148"/>
      <c r="T576" s="147"/>
      <c r="U576" s="144"/>
      <c r="V576" s="144"/>
    </row>
    <row r="577" spans="1:22" ht="14" x14ac:dyDescent="0.15">
      <c r="A577" s="144"/>
      <c r="B577" s="144"/>
      <c r="C577" s="145"/>
      <c r="D577" s="145"/>
      <c r="E577" s="148"/>
      <c r="F577" s="147"/>
      <c r="G577" s="144"/>
      <c r="H577" s="144"/>
      <c r="I577" s="144"/>
      <c r="J577" s="145"/>
      <c r="K577" s="145"/>
      <c r="L577" s="148"/>
      <c r="M577" s="155"/>
      <c r="N577" s="144"/>
      <c r="O577" s="144"/>
      <c r="P577" s="144"/>
      <c r="Q577" s="145"/>
      <c r="R577" s="145"/>
      <c r="S577" s="148"/>
      <c r="T577" s="147"/>
      <c r="U577" s="144"/>
      <c r="V577" s="144"/>
    </row>
    <row r="578" spans="1:22" ht="14" x14ac:dyDescent="0.15">
      <c r="A578" s="144"/>
      <c r="B578" s="144"/>
      <c r="C578" s="145"/>
      <c r="D578" s="145"/>
      <c r="E578" s="148"/>
      <c r="F578" s="147"/>
      <c r="G578" s="144"/>
      <c r="H578" s="144"/>
      <c r="I578" s="144"/>
      <c r="J578" s="145"/>
      <c r="K578" s="145"/>
      <c r="L578" s="148"/>
      <c r="M578" s="155"/>
      <c r="N578" s="144"/>
      <c r="O578" s="144"/>
      <c r="P578" s="144"/>
      <c r="Q578" s="145"/>
      <c r="R578" s="145"/>
      <c r="S578" s="148"/>
      <c r="T578" s="147"/>
      <c r="U578" s="144"/>
      <c r="V578" s="144"/>
    </row>
    <row r="579" spans="1:22" ht="14" x14ac:dyDescent="0.15">
      <c r="A579" s="144"/>
      <c r="B579" s="144"/>
      <c r="C579" s="145"/>
      <c r="D579" s="145"/>
      <c r="E579" s="148"/>
      <c r="F579" s="147"/>
      <c r="G579" s="144"/>
      <c r="H579" s="144"/>
      <c r="I579" s="144"/>
      <c r="J579" s="145"/>
      <c r="K579" s="145"/>
      <c r="L579" s="148"/>
      <c r="M579" s="155"/>
      <c r="N579" s="144"/>
      <c r="O579" s="144"/>
      <c r="P579" s="144"/>
      <c r="Q579" s="145"/>
      <c r="R579" s="145"/>
      <c r="S579" s="148"/>
      <c r="T579" s="147"/>
      <c r="U579" s="144"/>
      <c r="V579" s="144"/>
    </row>
    <row r="580" spans="1:22" ht="14" x14ac:dyDescent="0.15">
      <c r="A580" s="144"/>
      <c r="B580" s="144"/>
      <c r="C580" s="145"/>
      <c r="D580" s="145"/>
      <c r="E580" s="148"/>
      <c r="F580" s="147"/>
      <c r="G580" s="144"/>
      <c r="H580" s="144"/>
      <c r="I580" s="144"/>
      <c r="J580" s="145"/>
      <c r="K580" s="145"/>
      <c r="L580" s="148"/>
      <c r="M580" s="155"/>
      <c r="N580" s="144"/>
      <c r="O580" s="144"/>
      <c r="P580" s="144"/>
      <c r="Q580" s="145"/>
      <c r="R580" s="145"/>
      <c r="S580" s="148"/>
      <c r="T580" s="147"/>
      <c r="U580" s="144"/>
      <c r="V580" s="144"/>
    </row>
    <row r="581" spans="1:22" ht="14" x14ac:dyDescent="0.15">
      <c r="A581" s="144"/>
      <c r="B581" s="144"/>
      <c r="C581" s="145"/>
      <c r="D581" s="145"/>
      <c r="E581" s="148"/>
      <c r="F581" s="147"/>
      <c r="G581" s="144"/>
      <c r="H581" s="144"/>
      <c r="I581" s="144"/>
      <c r="J581" s="145"/>
      <c r="K581" s="145"/>
      <c r="L581" s="148"/>
      <c r="M581" s="155"/>
      <c r="N581" s="144"/>
      <c r="O581" s="144"/>
      <c r="P581" s="144"/>
      <c r="Q581" s="145"/>
      <c r="R581" s="145"/>
      <c r="S581" s="148"/>
      <c r="T581" s="147"/>
      <c r="U581" s="144"/>
      <c r="V581" s="144"/>
    </row>
    <row r="582" spans="1:22" ht="14" x14ac:dyDescent="0.15">
      <c r="A582" s="144"/>
      <c r="B582" s="144"/>
      <c r="C582" s="145"/>
      <c r="D582" s="145"/>
      <c r="E582" s="148"/>
      <c r="F582" s="147"/>
      <c r="G582" s="144"/>
      <c r="H582" s="144"/>
      <c r="I582" s="144"/>
      <c r="J582" s="145"/>
      <c r="K582" s="145"/>
      <c r="L582" s="148"/>
      <c r="M582" s="155"/>
      <c r="N582" s="144"/>
      <c r="O582" s="144"/>
      <c r="P582" s="144"/>
      <c r="Q582" s="145"/>
      <c r="R582" s="145"/>
      <c r="S582" s="148"/>
      <c r="T582" s="147"/>
      <c r="U582" s="144"/>
      <c r="V582" s="144"/>
    </row>
    <row r="583" spans="1:22" ht="14" x14ac:dyDescent="0.15">
      <c r="A583" s="144"/>
      <c r="B583" s="144"/>
      <c r="C583" s="145"/>
      <c r="D583" s="145"/>
      <c r="E583" s="148"/>
      <c r="F583" s="147"/>
      <c r="G583" s="144"/>
      <c r="H583" s="144"/>
      <c r="I583" s="144"/>
      <c r="J583" s="145"/>
      <c r="K583" s="145"/>
      <c r="L583" s="148"/>
      <c r="M583" s="155"/>
      <c r="N583" s="144"/>
      <c r="O583" s="144"/>
      <c r="P583" s="144"/>
      <c r="Q583" s="145"/>
      <c r="R583" s="145"/>
      <c r="S583" s="148"/>
      <c r="T583" s="147"/>
      <c r="U583" s="144"/>
      <c r="V583" s="144"/>
    </row>
    <row r="584" spans="1:22" ht="14" x14ac:dyDescent="0.15">
      <c r="A584" s="144"/>
      <c r="B584" s="144"/>
      <c r="C584" s="145"/>
      <c r="D584" s="145"/>
      <c r="E584" s="148"/>
      <c r="F584" s="147"/>
      <c r="G584" s="144"/>
      <c r="H584" s="144"/>
      <c r="I584" s="144"/>
      <c r="J584" s="145"/>
      <c r="K584" s="145"/>
      <c r="L584" s="148"/>
      <c r="M584" s="155"/>
      <c r="N584" s="144"/>
      <c r="O584" s="144"/>
      <c r="P584" s="144"/>
      <c r="Q584" s="145"/>
      <c r="R584" s="145"/>
      <c r="S584" s="148"/>
      <c r="T584" s="147"/>
      <c r="U584" s="144"/>
      <c r="V584" s="144"/>
    </row>
    <row r="585" spans="1:22" ht="14" x14ac:dyDescent="0.15">
      <c r="A585" s="144"/>
      <c r="B585" s="144"/>
      <c r="C585" s="145"/>
      <c r="D585" s="145"/>
      <c r="E585" s="148"/>
      <c r="F585" s="147"/>
      <c r="G585" s="144"/>
      <c r="H585" s="144"/>
      <c r="I585" s="144"/>
      <c r="J585" s="145"/>
      <c r="K585" s="145"/>
      <c r="L585" s="148"/>
      <c r="M585" s="155"/>
      <c r="N585" s="144"/>
      <c r="O585" s="144"/>
      <c r="P585" s="144"/>
      <c r="Q585" s="145"/>
      <c r="R585" s="145"/>
      <c r="S585" s="148"/>
      <c r="T585" s="147"/>
      <c r="U585" s="144"/>
      <c r="V585" s="144"/>
    </row>
    <row r="586" spans="1:22" ht="14" x14ac:dyDescent="0.15">
      <c r="A586" s="144"/>
      <c r="B586" s="144"/>
      <c r="C586" s="145"/>
      <c r="D586" s="145"/>
      <c r="E586" s="148"/>
      <c r="F586" s="147"/>
      <c r="G586" s="144"/>
      <c r="H586" s="144"/>
      <c r="I586" s="144"/>
      <c r="J586" s="145"/>
      <c r="K586" s="145"/>
      <c r="L586" s="148"/>
      <c r="M586" s="155"/>
      <c r="N586" s="144"/>
      <c r="O586" s="144"/>
      <c r="P586" s="144"/>
      <c r="Q586" s="145"/>
      <c r="R586" s="145"/>
      <c r="S586" s="148"/>
      <c r="T586" s="147"/>
      <c r="U586" s="144"/>
      <c r="V586" s="144"/>
    </row>
    <row r="587" spans="1:22" ht="14" x14ac:dyDescent="0.15">
      <c r="A587" s="144"/>
      <c r="B587" s="144"/>
      <c r="C587" s="145"/>
      <c r="D587" s="145"/>
      <c r="E587" s="148"/>
      <c r="F587" s="147"/>
      <c r="G587" s="144"/>
      <c r="H587" s="144"/>
      <c r="I587" s="144"/>
      <c r="J587" s="145"/>
      <c r="K587" s="145"/>
      <c r="L587" s="148"/>
      <c r="M587" s="155"/>
      <c r="N587" s="144"/>
      <c r="O587" s="144"/>
      <c r="P587" s="144"/>
      <c r="Q587" s="145"/>
      <c r="R587" s="145"/>
      <c r="S587" s="148"/>
      <c r="T587" s="147"/>
      <c r="U587" s="144"/>
      <c r="V587" s="144"/>
    </row>
    <row r="588" spans="1:22" ht="14" x14ac:dyDescent="0.15">
      <c r="A588" s="144"/>
      <c r="B588" s="144"/>
      <c r="C588" s="145"/>
      <c r="D588" s="145"/>
      <c r="E588" s="148"/>
      <c r="F588" s="147"/>
      <c r="G588" s="144"/>
      <c r="H588" s="144"/>
      <c r="I588" s="144"/>
      <c r="J588" s="145"/>
      <c r="K588" s="145"/>
      <c r="L588" s="148"/>
      <c r="M588" s="155"/>
      <c r="N588" s="144"/>
      <c r="O588" s="144"/>
      <c r="P588" s="144"/>
      <c r="Q588" s="145"/>
      <c r="R588" s="145"/>
      <c r="S588" s="148"/>
      <c r="T588" s="147"/>
      <c r="U588" s="144"/>
      <c r="V588" s="144"/>
    </row>
    <row r="589" spans="1:22" ht="14" x14ac:dyDescent="0.15">
      <c r="A589" s="144"/>
      <c r="B589" s="144"/>
      <c r="C589" s="145"/>
      <c r="D589" s="145"/>
      <c r="E589" s="148"/>
      <c r="F589" s="147"/>
      <c r="G589" s="144"/>
      <c r="H589" s="144"/>
      <c r="I589" s="144"/>
      <c r="J589" s="145"/>
      <c r="K589" s="145"/>
      <c r="L589" s="148"/>
      <c r="M589" s="155"/>
      <c r="N589" s="144"/>
      <c r="O589" s="144"/>
      <c r="P589" s="144"/>
      <c r="Q589" s="145"/>
      <c r="R589" s="145"/>
      <c r="S589" s="148"/>
      <c r="T589" s="147"/>
      <c r="U589" s="144"/>
      <c r="V589" s="144"/>
    </row>
    <row r="590" spans="1:22" ht="14" x14ac:dyDescent="0.15">
      <c r="A590" s="144"/>
      <c r="B590" s="144"/>
      <c r="C590" s="145"/>
      <c r="D590" s="145"/>
      <c r="E590" s="148"/>
      <c r="F590" s="147"/>
      <c r="G590" s="144"/>
      <c r="H590" s="144"/>
      <c r="I590" s="144"/>
      <c r="J590" s="145"/>
      <c r="K590" s="145"/>
      <c r="L590" s="148"/>
      <c r="M590" s="155"/>
      <c r="N590" s="144"/>
      <c r="O590" s="144"/>
      <c r="P590" s="144"/>
      <c r="Q590" s="145"/>
      <c r="R590" s="145"/>
      <c r="S590" s="148"/>
      <c r="T590" s="147"/>
      <c r="U590" s="144"/>
      <c r="V590" s="144"/>
    </row>
    <row r="591" spans="1:22" ht="14" x14ac:dyDescent="0.15">
      <c r="A591" s="144"/>
      <c r="B591" s="144"/>
      <c r="C591" s="145"/>
      <c r="D591" s="145"/>
      <c r="E591" s="148"/>
      <c r="F591" s="147"/>
      <c r="G591" s="144"/>
      <c r="H591" s="144"/>
      <c r="I591" s="144"/>
      <c r="J591" s="145"/>
      <c r="K591" s="145"/>
      <c r="L591" s="148"/>
      <c r="M591" s="155"/>
      <c r="N591" s="144"/>
      <c r="O591" s="144"/>
      <c r="P591" s="144"/>
      <c r="Q591" s="145"/>
      <c r="R591" s="145"/>
      <c r="S591" s="148"/>
      <c r="T591" s="147"/>
      <c r="U591" s="144"/>
      <c r="V591" s="144"/>
    </row>
    <row r="592" spans="1:22" ht="14" x14ac:dyDescent="0.15">
      <c r="A592" s="144"/>
      <c r="B592" s="144"/>
      <c r="C592" s="145"/>
      <c r="D592" s="145"/>
      <c r="E592" s="148"/>
      <c r="F592" s="147"/>
      <c r="G592" s="144"/>
      <c r="H592" s="144"/>
      <c r="I592" s="144"/>
      <c r="J592" s="145"/>
      <c r="K592" s="145"/>
      <c r="L592" s="148"/>
      <c r="M592" s="155"/>
      <c r="N592" s="144"/>
      <c r="O592" s="144"/>
      <c r="P592" s="144"/>
      <c r="Q592" s="145"/>
      <c r="R592" s="145"/>
      <c r="S592" s="148"/>
      <c r="T592" s="147"/>
      <c r="U592" s="144"/>
      <c r="V592" s="144"/>
    </row>
    <row r="593" spans="1:22" ht="14" x14ac:dyDescent="0.15">
      <c r="A593" s="144"/>
      <c r="B593" s="144"/>
      <c r="C593" s="145"/>
      <c r="D593" s="145"/>
      <c r="E593" s="148"/>
      <c r="F593" s="147"/>
      <c r="G593" s="144"/>
      <c r="H593" s="144"/>
      <c r="I593" s="144"/>
      <c r="J593" s="145"/>
      <c r="K593" s="145"/>
      <c r="L593" s="148"/>
      <c r="M593" s="155"/>
      <c r="N593" s="144"/>
      <c r="O593" s="144"/>
      <c r="P593" s="144"/>
      <c r="Q593" s="145"/>
      <c r="R593" s="145"/>
      <c r="S593" s="148"/>
      <c r="T593" s="147"/>
      <c r="U593" s="144"/>
      <c r="V593" s="144"/>
    </row>
    <row r="594" spans="1:22" ht="14" x14ac:dyDescent="0.15">
      <c r="A594" s="144"/>
      <c r="B594" s="144"/>
      <c r="C594" s="145"/>
      <c r="D594" s="145"/>
      <c r="E594" s="148"/>
      <c r="F594" s="147"/>
      <c r="G594" s="144"/>
      <c r="H594" s="144"/>
      <c r="I594" s="144"/>
      <c r="J594" s="145"/>
      <c r="K594" s="145"/>
      <c r="L594" s="148"/>
      <c r="M594" s="155"/>
      <c r="N594" s="144"/>
      <c r="O594" s="144"/>
      <c r="P594" s="144"/>
      <c r="Q594" s="145"/>
      <c r="R594" s="145"/>
      <c r="S594" s="148"/>
      <c r="T594" s="147"/>
      <c r="U594" s="144"/>
      <c r="V594" s="144"/>
    </row>
    <row r="595" spans="1:22" ht="14" x14ac:dyDescent="0.15">
      <c r="A595" s="144"/>
      <c r="B595" s="144"/>
      <c r="C595" s="145"/>
      <c r="D595" s="145"/>
      <c r="E595" s="148"/>
      <c r="F595" s="147"/>
      <c r="G595" s="144"/>
      <c r="H595" s="144"/>
      <c r="I595" s="144"/>
      <c r="J595" s="145"/>
      <c r="K595" s="145"/>
      <c r="L595" s="148"/>
      <c r="M595" s="155"/>
      <c r="N595" s="144"/>
      <c r="O595" s="144"/>
      <c r="P595" s="144"/>
      <c r="Q595" s="145"/>
      <c r="R595" s="145"/>
      <c r="S595" s="148"/>
      <c r="T595" s="147"/>
      <c r="U595" s="144"/>
      <c r="V595" s="144"/>
    </row>
    <row r="596" spans="1:22" ht="14" x14ac:dyDescent="0.15">
      <c r="A596" s="144"/>
      <c r="B596" s="144"/>
      <c r="C596" s="145"/>
      <c r="D596" s="145"/>
      <c r="E596" s="148"/>
      <c r="F596" s="147"/>
      <c r="G596" s="144"/>
      <c r="H596" s="144"/>
      <c r="I596" s="144"/>
      <c r="J596" s="145"/>
      <c r="K596" s="145"/>
      <c r="L596" s="148"/>
      <c r="M596" s="155"/>
      <c r="N596" s="144"/>
      <c r="O596" s="144"/>
      <c r="P596" s="144"/>
      <c r="Q596" s="145"/>
      <c r="R596" s="145"/>
      <c r="S596" s="148"/>
      <c r="T596" s="147"/>
      <c r="U596" s="144"/>
      <c r="V596" s="144"/>
    </row>
    <row r="597" spans="1:22" ht="14" x14ac:dyDescent="0.15">
      <c r="A597" s="144"/>
      <c r="B597" s="144"/>
      <c r="C597" s="145"/>
      <c r="D597" s="145"/>
      <c r="E597" s="148"/>
      <c r="F597" s="147"/>
      <c r="G597" s="144"/>
      <c r="H597" s="144"/>
      <c r="I597" s="144"/>
      <c r="J597" s="145"/>
      <c r="K597" s="145"/>
      <c r="L597" s="148"/>
      <c r="M597" s="155"/>
      <c r="N597" s="144"/>
      <c r="O597" s="144"/>
      <c r="P597" s="144"/>
      <c r="Q597" s="145"/>
      <c r="R597" s="145"/>
      <c r="S597" s="148"/>
      <c r="T597" s="147"/>
      <c r="U597" s="144"/>
      <c r="V597" s="144"/>
    </row>
    <row r="598" spans="1:22" ht="14" x14ac:dyDescent="0.15">
      <c r="A598" s="144"/>
      <c r="B598" s="144"/>
      <c r="C598" s="145"/>
      <c r="D598" s="145"/>
      <c r="E598" s="148"/>
      <c r="F598" s="147"/>
      <c r="G598" s="144"/>
      <c r="H598" s="144"/>
      <c r="I598" s="144"/>
      <c r="J598" s="145"/>
      <c r="K598" s="145"/>
      <c r="L598" s="148"/>
      <c r="M598" s="155"/>
      <c r="N598" s="144"/>
      <c r="O598" s="144"/>
      <c r="P598" s="144"/>
      <c r="Q598" s="145"/>
      <c r="R598" s="145"/>
      <c r="S598" s="148"/>
      <c r="T598" s="147"/>
      <c r="U598" s="144"/>
      <c r="V598" s="144"/>
    </row>
    <row r="599" spans="1:22" ht="14" x14ac:dyDescent="0.15">
      <c r="A599" s="144"/>
      <c r="B599" s="144"/>
      <c r="C599" s="145"/>
      <c r="D599" s="145"/>
      <c r="E599" s="148"/>
      <c r="F599" s="147"/>
      <c r="G599" s="144"/>
      <c r="H599" s="144"/>
      <c r="I599" s="144"/>
      <c r="J599" s="145"/>
      <c r="K599" s="145"/>
      <c r="L599" s="148"/>
      <c r="M599" s="155"/>
      <c r="N599" s="144"/>
      <c r="O599" s="144"/>
      <c r="P599" s="144"/>
      <c r="Q599" s="145"/>
      <c r="R599" s="145"/>
      <c r="S599" s="148"/>
      <c r="T599" s="147"/>
      <c r="U599" s="144"/>
      <c r="V599" s="144"/>
    </row>
  </sheetData>
  <mergeCells count="9">
    <mergeCell ref="Q2:T2"/>
    <mergeCell ref="Q3:T3"/>
    <mergeCell ref="C1:F1"/>
    <mergeCell ref="J1:M1"/>
    <mergeCell ref="Q1:T1"/>
    <mergeCell ref="C2:F2"/>
    <mergeCell ref="J2:M2"/>
    <mergeCell ref="C3:F3"/>
    <mergeCell ref="J3:M3"/>
  </mergeCells>
  <hyperlinks>
    <hyperlink ref="E5" r:id="rId1" display="https://www.linkedin.com/learning/creating-a-culture-of-change" xr:uid="{00000000-0004-0000-0900-000000000000}"/>
    <hyperlink ref="F5" r:id="rId2" display="https://www.linkedin.com/learning/paths/leading-during-times-of-change" xr:uid="{00000000-0004-0000-0900-000001000000}"/>
    <hyperlink ref="L5" r:id="rId3" display="https://www.linkedin.com/learning/counterintuitive-leadership-strategies-for-a-vuca-environment" xr:uid="{00000000-0004-0000-0900-000002000000}"/>
    <hyperlink ref="M5" r:id="rId4" display="https://www.linkedin.com/learning/paths/leading-others-effectively" xr:uid="{00000000-0004-0000-0900-000003000000}"/>
    <hyperlink ref="S5" r:id="rId5" display="https://www.linkedin.com/learning/creating-a-high-performance-culture/components-of-high-performing-cultures" xr:uid="{00000000-0004-0000-0900-000004000000}"/>
    <hyperlink ref="T5" r:id="rId6" display="https://www.linkedin.com/learning/paths/managing-others-effectively-3" xr:uid="{00000000-0004-0000-0900-000005000000}"/>
    <hyperlink ref="E6" r:id="rId7" display="https://www.linkedin.com/learning/leading-change-4" xr:uid="{00000000-0004-0000-0900-000006000000}"/>
    <hyperlink ref="F6" r:id="rId8" display="https://www.linkedin.com/learning/paths/become-a-thought-leader" xr:uid="{00000000-0004-0000-0900-000007000000}"/>
    <hyperlink ref="L6" r:id="rId9" display="https://www.linkedin.com/learning/leading-change-4" xr:uid="{00000000-0004-0000-0900-000008000000}"/>
    <hyperlink ref="M6" r:id="rId10" display="https://www.linkedin.com/learning/paths/become-a-leader" xr:uid="{00000000-0004-0000-0900-000009000000}"/>
    <hyperlink ref="S6" r:id="rId11" display="https://www.linkedin.com/learning/foundations-of-performance-management-with-nigel-cumberland" xr:uid="{00000000-0004-0000-0900-00000A000000}"/>
    <hyperlink ref="T6" r:id="rId12" display="https://www.linkedin.com/learning/paths/advance-your-skills-as-a-manager" xr:uid="{00000000-0004-0000-0900-00000B000000}"/>
    <hyperlink ref="E7" r:id="rId13" display="https://www.linkedin.com/learning/strategic-agility" xr:uid="{00000000-0004-0000-0900-00000C000000}"/>
    <hyperlink ref="F7" r:id="rId14" display="https://www.linkedin.com/learning/paths/digital-transformation-for-leaders" xr:uid="{00000000-0004-0000-0900-00000D000000}"/>
    <hyperlink ref="L7" r:id="rId15" display="https://www.linkedin.com/learning/leading-with-vision" xr:uid="{00000000-0004-0000-0900-00000E000000}"/>
    <hyperlink ref="M7" r:id="rId16" display="https://www.linkedin.com/learning/paths/become-a-thought-leader" xr:uid="{00000000-0004-0000-0900-00000F000000}"/>
    <hyperlink ref="S7" r:id="rId17" display="https://www.linkedin.com/learning/boosting-your-team-s-productivity/next-steps" xr:uid="{00000000-0004-0000-0900-000010000000}"/>
    <hyperlink ref="T7" r:id="rId18" display="https://www.linkedin.com/learning/paths/become-a-manager" xr:uid="{00000000-0004-0000-0900-000011000000}"/>
    <hyperlink ref="E8" r:id="rId19" display="https://www.linkedin.com/learning/counterintuitive-leadership-strategies-for-a-vuca-environment" xr:uid="{00000000-0004-0000-0900-000012000000}"/>
    <hyperlink ref="F8" r:id="rId20" display="https://www.linkedin.com/learning/paths/digital-transformation-for-tech-leaders" xr:uid="{00000000-0004-0000-0900-000013000000}"/>
    <hyperlink ref="L8" r:id="rId21" display="https://www.linkedin.com/learning/strategic-mentoring" xr:uid="{00000000-0004-0000-0900-000014000000}"/>
    <hyperlink ref="M8" r:id="rId22" display="https://www.linkedin.com/learning/paths/become-an-inclusive-leader" xr:uid="{00000000-0004-0000-0900-000015000000}"/>
    <hyperlink ref="S8" r:id="rId23" display="https://www.linkedin.com/learning/delegating-tasks" xr:uid="{00000000-0004-0000-0900-000016000000}"/>
    <hyperlink ref="T8" r:id="rId24" display="https://www.linkedin.com/learning/paths/improve-your-coaching-skills-as-a-manager" xr:uid="{00000000-0004-0000-0900-000017000000}"/>
    <hyperlink ref="E9" r:id="rId25" display="https://www.linkedin.com/learning/key-psychological-principles-for-ethical-persuasion" xr:uid="{00000000-0004-0000-0900-000018000000}"/>
    <hyperlink ref="F9" r:id="rId26" display="https://www.linkedin.com/learning/paths/managing-change" xr:uid="{00000000-0004-0000-0900-000019000000}"/>
    <hyperlink ref="L9" r:id="rId27" display="https://www.linkedin.com/learning/vision-in-action-leaders-live-case-studies" xr:uid="{00000000-0004-0000-0900-00001A000000}"/>
    <hyperlink ref="M9" r:id="rId28" display="https://www.linkedin.com/learning/paths/linkedin-manager-to-leader" xr:uid="{00000000-0004-0000-0900-00001B000000}"/>
    <hyperlink ref="S9" r:id="rId29" display="https://www.linkedin.com/learning/having-difficult-conversations-2" xr:uid="{00000000-0004-0000-0900-00001C000000}"/>
    <hyperlink ref="T9" r:id="rId30" display="https://www.linkedin.com/learning/paths/become-a-senior-manager" xr:uid="{00000000-0004-0000-0900-00001D000000}"/>
    <hyperlink ref="E10" r:id="rId31" display="https://www.linkedin.com/learning/business-innovation-foundations" xr:uid="{00000000-0004-0000-0900-00001E000000}"/>
    <hyperlink ref="F10" r:id="rId32" display="https://www.linkedin.com/learning/paths/women-in-leadership-3" xr:uid="{00000000-0004-0000-0900-00001F000000}"/>
    <hyperlink ref="L10" r:id="rId33" display="https://www.linkedin.com/learning/using-emotions-to-leverage-and-accelerate-change-a-guide-for-leaders" xr:uid="{00000000-0004-0000-0900-000020000000}"/>
    <hyperlink ref="M10" r:id="rId34" display="https://www.linkedin.com/learning/paths/master-in-demand-skills-for-technology-leadership" xr:uid="{00000000-0004-0000-0900-000021000000}"/>
    <hyperlink ref="S10" r:id="rId35" display="https://www.linkedin.com/learning/managing-high-performers" xr:uid="{00000000-0004-0000-0900-000022000000}"/>
    <hyperlink ref="T10" r:id="rId36" display="https://www.linkedin.com/learning/paths/managing-performance" xr:uid="{00000000-0004-0000-0900-000023000000}"/>
    <hyperlink ref="E11" r:id="rId37" display="https://www.linkedin.com/learning/cultivating-a-growth-mindset/create-a-growth-mindset" xr:uid="{00000000-0004-0000-0900-000024000000}"/>
    <hyperlink ref="F11" r:id="rId38" display="https://www.linkedin.com/learning/paths/manage-change-and-develop-your-adaptability-skills" xr:uid="{00000000-0004-0000-0900-000025000000}"/>
    <hyperlink ref="M11" r:id="rId39" display="https://www.linkedin.com/learning/paths/remote-working-setting-yourself-and-your-teams-up-for-success" xr:uid="{00000000-0004-0000-0900-000026000000}"/>
    <hyperlink ref="S11" r:id="rId40" display="https://www.linkedin.com/learning/managing-high-potentials" xr:uid="{00000000-0004-0000-0900-000027000000}"/>
    <hyperlink ref="T11" r:id="rId41" display="https://www.linkedin.com/learning/paths/master-in-demand-professional-soft-skills" xr:uid="{00000000-0004-0000-0900-000028000000}"/>
    <hyperlink ref="E12" r:id="rId42" display="https://www.linkedin.com/learning/developing-a-learning-mindset" xr:uid="{00000000-0004-0000-0900-000029000000}"/>
    <hyperlink ref="L12" r:id="rId43" display="https://www.linkedin.com/learning/mastering-organizational-chaos" xr:uid="{00000000-0004-0000-0900-00002A000000}"/>
    <hyperlink ref="M12" r:id="rId44" display="https://www.linkedin.com/learning/paths/diversity-inclusion-and-belonging-for-leaders-and-managers" xr:uid="{00000000-0004-0000-0900-00002B000000}"/>
    <hyperlink ref="S12" r:id="rId45" display="https://www.linkedin.com/learning/new-manager-foundations-2" xr:uid="{00000000-0004-0000-0900-00002C000000}"/>
    <hyperlink ref="T12" r:id="rId46" display="https://www.linkedin.com/learning/paths/managing-and-leading-developers" xr:uid="{00000000-0004-0000-0900-00002D000000}"/>
    <hyperlink ref="E13" r:id="rId47" display="https://www.linkedin.com/learning/embracing-unexpected-change" xr:uid="{00000000-0004-0000-0900-00002E000000}"/>
    <hyperlink ref="L13" r:id="rId48" display="https://www.linkedin.com/learning/inspirational-leadership-skills-practical-motivational-leadership" xr:uid="{00000000-0004-0000-0900-00002F000000}"/>
    <hyperlink ref="M13" r:id="rId49" display="https://www.linkedin.com/learning/paths/leading-others-effectively" xr:uid="{00000000-0004-0000-0900-000030000000}"/>
    <hyperlink ref="S13" r:id="rId50" display="https://www.linkedin.com/learning/performance-management-setting-goals-and-managing-performance" xr:uid="{00000000-0004-0000-0900-000031000000}"/>
    <hyperlink ref="E14" r:id="rId51" display="https://www.linkedin.com/learning/gary-hamel-on-busting-bureaucracy/welcome" xr:uid="{00000000-0004-0000-0900-000032000000}"/>
    <hyperlink ref="L14" r:id="rId52" display="https://www.linkedin.com/learning/bill-george-on-self-awareness-authenticity-and-leadership" xr:uid="{00000000-0004-0000-0900-000033000000}"/>
    <hyperlink ref="S14" r:id="rId53" display="https://www.linkedin.com/learning/setting-team-and-employee-goals" xr:uid="{00000000-0004-0000-0900-000034000000}"/>
    <hyperlink ref="E15" r:id="rId54" display="https://www.linkedin.com/learning/jeff-dyer-on-innovation" xr:uid="{00000000-0004-0000-0900-000035000000}"/>
    <hyperlink ref="L15" r:id="rId55" display="https://www.linkedin.com/learning/body-language-for-leaders" xr:uid="{00000000-0004-0000-0900-000036000000}"/>
    <hyperlink ref="S15" r:id="rId56" display="https://www.linkedin.com/learning/simplifying-business-processes" xr:uid="{00000000-0004-0000-0900-000037000000}"/>
    <hyperlink ref="E16" r:id="rId57" display="https://www.linkedin.com/learning/learning-design-for-sustainability/welcome" xr:uid="{00000000-0004-0000-0900-000038000000}"/>
    <hyperlink ref="L16" r:id="rId58" display="https://www.linkedin.com/learning/developing-credibility-as-a-leader" xr:uid="{00000000-0004-0000-0900-000039000000}"/>
    <hyperlink ref="S16" r:id="rId59" display="https://www.linkedin.com/learning/talent-management/what-you-should-know-before-watching-this-course" xr:uid="{00000000-0004-0000-0900-00003A000000}"/>
    <hyperlink ref="E17" r:id="rId60" display="https://www.linkedin.com/learning/learning-design-thinking-lead-change-in-your-organization" xr:uid="{00000000-0004-0000-0900-00003B000000}"/>
    <hyperlink ref="L17" r:id="rId61" display="https://www.linkedin.com/learning/emerging-leader-foundations/how-to-create-a-culture-of-learning" xr:uid="{00000000-0004-0000-0900-00003C000000}"/>
    <hyperlink ref="S17" r:id="rId62" display="https://www.linkedin.com/learning/avoiding-new-manager-mistakes" xr:uid="{00000000-0004-0000-0900-00003D000000}"/>
    <hyperlink ref="E18" r:id="rId63" display="https://www.linkedin.com/learning/organization-communication" xr:uid="{00000000-0004-0000-0900-00003E000000}"/>
    <hyperlink ref="L18" r:id="rId64" display="https://www.linkedin.com/learning/fred-kofman-on-accountability" xr:uid="{00000000-0004-0000-0900-00003F000000}"/>
    <hyperlink ref="S18" r:id="rId65" display="https://www.linkedin.com/learning/how-to-give-and-receive-useful-feedback-every-month" xr:uid="{00000000-0004-0000-0900-000040000000}"/>
    <hyperlink ref="E19" r:id="rId66" display="https://www.linkedin.com/learning/performing-under-pressure" xr:uid="{00000000-0004-0000-0900-000041000000}"/>
    <hyperlink ref="L19" r:id="rId67" display="https://www.linkedin.com/learning/jeff-weiner-on-managing-compassionately/what-is-compassionate-management" xr:uid="{00000000-0004-0000-0900-000042000000}"/>
    <hyperlink ref="S19" r:id="rId68" display="https://www.linkedin.com/learning/simple-manager-tools-that-cure-the-under-management-epidemic" xr:uid="{00000000-0004-0000-0900-000043000000}"/>
    <hyperlink ref="E20" r:id="rId69" display="https://www.linkedin.com/learning/women-transforming-tech-breaking-in-and-staying-in-the-industry" xr:uid="{00000000-0004-0000-0900-000044000000}"/>
    <hyperlink ref="L20" r:id="rId70" display="https://www.linkedin.com/learning/ken-blanchard-on-servant-leadership" xr:uid="{00000000-0004-0000-0900-000045000000}"/>
    <hyperlink ref="S20" r:id="rId71" display="https://www.linkedin.com/learning/the-benefits-of-standardization-and-standard-work" xr:uid="{00000000-0004-0000-0900-000046000000}"/>
    <hyperlink ref="E21" r:id="rId72" display="https://www.linkedin.com/learning/women-transforming-tech-negotiation" xr:uid="{00000000-0004-0000-0900-000047000000}"/>
    <hyperlink ref="L21" r:id="rId73" display="https://www.linkedin.com/learning/leadership-foundations-leadership-styles-and-models" xr:uid="{00000000-0004-0000-0900-000048000000}"/>
    <hyperlink ref="S21" r:id="rId74" display="https://www.linkedin.com/learning/implementing-continuous-improvement-a-case-study" xr:uid="{00000000-0004-0000-0900-000049000000}"/>
    <hyperlink ref="E22" r:id="rId75" display="https://www.linkedin.com/learning/mission-and-vision-statements-explained" xr:uid="{00000000-0004-0000-0900-00004A000000}"/>
    <hyperlink ref="L22" r:id="rId76" display="https://www.linkedin.com/learning/leadership-stories-weekly" xr:uid="{00000000-0004-0000-0900-00004B000000}"/>
    <hyperlink ref="S22" r:id="rId77" display="https://www.linkedin.com/learning/culture-of-kaizen" xr:uid="{00000000-0004-0000-0900-00004C000000}"/>
    <hyperlink ref="E23" r:id="rId78" display="https://www.linkedin.com/learning/becoming-an-ai-first-product-leader" xr:uid="{00000000-0004-0000-0900-00004D000000}"/>
    <hyperlink ref="L23" r:id="rId79" display="https://www.linkedin.com/learning/leadership-practical-skills/welcome" xr:uid="{00000000-0004-0000-0900-00004E000000}"/>
    <hyperlink ref="S23" r:id="rId80" display="https://www.linkedin.com/learning/configure-and-manage-workload-integrations" xr:uid="{00000000-0004-0000-0900-00004F000000}"/>
    <hyperlink ref="E24" r:id="rId81" display="https://www.linkedin.com/learning/leading-with-fearless-mindfulness" xr:uid="{00000000-0004-0000-0900-000050000000}"/>
    <hyperlink ref="L24" r:id="rId82" display="https://www.linkedin.com/learning/leading-with-stories" xr:uid="{00000000-0004-0000-0900-000051000000}"/>
    <hyperlink ref="S24" r:id="rId83" display="https://www.linkedin.com/learning/hr-guidelines-everyone-should-know" xr:uid="{00000000-0004-0000-0900-000052000000}"/>
    <hyperlink ref="E25" r:id="rId84" display="https://www.linkedin.com/learning/guy-kawasaki-on-turning-life-wisdom-into-business-success" xr:uid="{00000000-0004-0000-0900-000053000000}"/>
    <hyperlink ref="L25" r:id="rId85" display="https://www.linkedin.com/learning/leading-yourself" xr:uid="{00000000-0004-0000-0900-000054000000}"/>
    <hyperlink ref="S25" r:id="rId86" display="https://www.linkedin.com/learning/project-leadership" xr:uid="{00000000-0004-0000-0900-000055000000}"/>
    <hyperlink ref="E26" r:id="rId87" display="https://www.linkedin.com/learning/advocating-for-change-in-your-organization" xr:uid="{00000000-0004-0000-0900-000056000000}"/>
    <hyperlink ref="L26" r:id="rId88" display="https://www.linkedin.com/learning/ryan-holmes-on-social-leadership" xr:uid="{00000000-0004-0000-0900-000057000000}"/>
    <hyperlink ref="S26" r:id="rId89" display="https://www.linkedin.com/learning/how-to-effectively-deliver-criticism" xr:uid="{00000000-0004-0000-0900-000058000000}"/>
    <hyperlink ref="E27" r:id="rId90" display="https://www.linkedin.com/learning/project-audio-highlights-2020" xr:uid="{00000000-0004-0000-0900-000059000000}"/>
    <hyperlink ref="L27" r:id="rId91" display="https://www.linkedin.com/learning/transitioning-from-manager-to-leader" xr:uid="{00000000-0004-0000-0900-00005A000000}"/>
    <hyperlink ref="S27" r:id="rId92" display="https://www.linkedin.com/learning/just-ask-todd-dewett-on-management-and-leadership" xr:uid="{00000000-0004-0000-0900-00005B000000}"/>
    <hyperlink ref="E28" r:id="rId93" display="https://www.linkedin.com/learning/being-your-own-fierce-self-advocate" xr:uid="{00000000-0004-0000-0900-00005C000000}"/>
    <hyperlink ref="L28" r:id="rId94" display="https://www.linkedin.com/learning/women-transforming-tech-finding-sponsors" xr:uid="{00000000-0004-0000-0900-00005D000000}"/>
    <hyperlink ref="S28" r:id="rId95" display="https://www.linkedin.com/learning/leading-virtual-meetings" xr:uid="{00000000-0004-0000-0900-00005E000000}"/>
    <hyperlink ref="E29" r:id="rId96" display="https://www.linkedin.com/learning/leading-with-innovation" xr:uid="{00000000-0004-0000-0900-00005F000000}"/>
    <hyperlink ref="L29" r:id="rId97" display="https://www.linkedin.com/learning/women-transforming-tech-voices-from-the-field" xr:uid="{00000000-0004-0000-0900-000060000000}"/>
    <hyperlink ref="S29" r:id="rId98" display="https://www.linkedin.com/learning/goal-setting-objectives-and-key-results-okrs" xr:uid="{00000000-0004-0000-0900-000061000000}"/>
    <hyperlink ref="E30" r:id="rId99" display="https://www.linkedin.com/learning/managing-stress-for-positive-change/how-to-use-this-course" xr:uid="{00000000-0004-0000-0900-000062000000}"/>
    <hyperlink ref="L30" r:id="rId100" display="https://www.linkedin.com/learning/leadership-foundations-the-basics-2019" xr:uid="{00000000-0004-0000-0900-000063000000}"/>
    <hyperlink ref="S30" r:id="rId101" display="https://www.linkedin.com/learning/recognizing-and-rewarding-your-workers" xr:uid="{00000000-0004-0000-0900-000064000000}"/>
    <hyperlink ref="E31" r:id="rId102" display="https://www.linkedin.com/learning/building-change-capability-for-managers" xr:uid="{00000000-0004-0000-0900-000065000000}"/>
    <hyperlink ref="L31" r:id="rId103" display="https://www.linkedin.com/learning/management-foundations-2019" xr:uid="{00000000-0004-0000-0900-000066000000}"/>
    <hyperlink ref="S31" r:id="rId104" display="https://www.linkedin.com/learning/coaching-and-developing-employees-4" xr:uid="{00000000-0004-0000-0900-000067000000}"/>
    <hyperlink ref="E32" r:id="rId105" display="https://www.linkedin.com/learning/leading-organizations-ten-timeless-truths-getabstract-summary" xr:uid="{00000000-0004-0000-0900-000068000000}"/>
    <hyperlink ref="L32" r:id="rId106" display="https://www.linkedin.com/learning/implementing-continuous-improvement-a-case-study" xr:uid="{00000000-0004-0000-0900-000069000000}"/>
    <hyperlink ref="S32" r:id="rId107" display="https://www.linkedin.com/learning/improving-employee-performance" xr:uid="{00000000-0004-0000-0900-00006A000000}"/>
    <hyperlink ref="E33" r:id="rId108" display="https://www.linkedin.com/learning/the-purpose-effect-getabstract-summary" xr:uid="{00000000-0004-0000-0900-00006B000000}"/>
    <hyperlink ref="L33" r:id="rId109" display="https://www.linkedin.com/learning/culture-of-kaizen" xr:uid="{00000000-0004-0000-0900-00006C000000}"/>
    <hyperlink ref="S33" r:id="rId110" display="https://www.linkedin.com/learning/management-top-tips/listening-and-asking-questions" xr:uid="{00000000-0004-0000-0900-00006D000000}"/>
    <hyperlink ref="E34" r:id="rId111" display="https://www.linkedin.com/learning/the-courage-habit-getabstract-summary" xr:uid="{00000000-0004-0000-0900-00006E000000}"/>
    <hyperlink ref="L34" r:id="rId112" display="https://www.linkedin.com/learning/developing-assertive-leadership" xr:uid="{00000000-0004-0000-0900-00006F000000}"/>
    <hyperlink ref="S34" r:id="rId113" display="https://www.linkedin.com/learning/managing-teams-3" xr:uid="{00000000-0004-0000-0900-000070000000}"/>
    <hyperlink ref="E35" r:id="rId114" display="https://www.linkedin.com/learning/leading-like-a-futurist" xr:uid="{00000000-0004-0000-0900-000071000000}"/>
    <hyperlink ref="L35" r:id="rId115" display="https://www.linkedin.com/learning/become-a-courageous-female-leader" xr:uid="{00000000-0004-0000-0900-000072000000}"/>
    <hyperlink ref="S35" r:id="rId116" display="https://www.linkedin.com/learning/managing-temporary-and-contract-employees" xr:uid="{00000000-0004-0000-0900-000073000000}"/>
    <hyperlink ref="E36" r:id="rId117" display="https://www.linkedin.com/learning/the-employee-s-guide-to-sustainability" xr:uid="{00000000-0004-0000-0900-000074000000}"/>
    <hyperlink ref="L36" r:id="rId118" display="https://www.linkedin.com/learning/leadership-fundamentals" xr:uid="{00000000-0004-0000-0900-000075000000}"/>
    <hyperlink ref="S36" r:id="rId119" display="https://www.linkedin.com/learning/motivating-and-engaging-employees-2" xr:uid="{00000000-0004-0000-0900-000076000000}"/>
    <hyperlink ref="E37" r:id="rId120" display="https://www.linkedin.com/learning/emily-cohen-brutal-honesty-as-a-business-strategy" xr:uid="{00000000-0004-0000-0900-000077000000}"/>
    <hyperlink ref="L37" r:id="rId121" display="https://www.linkedin.com/learning/work-on-purpose" xr:uid="{00000000-0004-0000-0900-000078000000}"/>
    <hyperlink ref="S37" r:id="rId122" display="https://www.linkedin.com/learning/building-change-capability-for-managers" xr:uid="{00000000-0004-0000-0900-000079000000}"/>
    <hyperlink ref="E38" r:id="rId123" display="https://www.linkedin.com/learning/body-language-for-leaders-2019" xr:uid="{00000000-0004-0000-0900-00007A000000}"/>
    <hyperlink ref="L38" r:id="rId124" display="https://www.linkedin.com/learning/superhuman-innovation-blinkist-summary" xr:uid="{00000000-0004-0000-0900-00007B000000}"/>
    <hyperlink ref="S38" r:id="rId125" display="https://www.linkedin.com/learning/managing-generation-z" xr:uid="{00000000-0004-0000-0900-00007C000000}"/>
    <hyperlink ref="E39" r:id="rId126" display="https://www.linkedin.com/learning/aaron-dignan-on-transformational-change" xr:uid="{00000000-0004-0000-0900-00007D000000}"/>
    <hyperlink ref="S39" r:id="rId127" display="https://www.linkedin.com/learning/why-motivating-people-doesn-t-work-and-what-does-getabstract-summary" xr:uid="{00000000-0004-0000-0900-00007E000000}"/>
    <hyperlink ref="E40" r:id="rId128" display="https://www.linkedin.com/learning/reframing-organizations-blinkist-summary" xr:uid="{00000000-0004-0000-0900-00007F000000}"/>
    <hyperlink ref="L40" r:id="rId129" display="https://www.linkedin.com/learning/project-leadership" xr:uid="{00000000-0004-0000-0900-000080000000}"/>
    <hyperlink ref="S40" r:id="rId130" display="https://www.linkedin.com/learning/advice-for-leaders-during-a-crisis" xr:uid="{00000000-0004-0000-0900-000081000000}"/>
    <hyperlink ref="E41" r:id="rId131" display="https://www.linkedin.com/learning/driving-change-and-anti-racism" xr:uid="{00000000-0004-0000-0900-000082000000}"/>
    <hyperlink ref="L41" r:id="rId132" display="https://www.linkedin.com/learning/leading-with-emotional-intelligence-3" xr:uid="{00000000-0004-0000-0900-000083000000}"/>
    <hyperlink ref="S41" r:id="rId133" display="https://www.linkedin.com/learning/the-eight-essential-people-skills-for-project-management-blinkist-summary" xr:uid="{00000000-0004-0000-0900-000084000000}"/>
    <hyperlink ref="E42" r:id="rId134" display="https://www.linkedin.com/learning/a-manager-s-toolkit-for-supporting-change" xr:uid="{00000000-0004-0000-0900-000085000000}"/>
    <hyperlink ref="L42" r:id="rId135" display="https://www.linkedin.com/learning/leading-with-innovation/welcome" xr:uid="{00000000-0004-0000-0900-000086000000}"/>
    <hyperlink ref="S42" r:id="rId136" display="https://www.linkedin.com/learning/sales-management-simplified-blinkist-summary" xr:uid="{00000000-0004-0000-0900-000087000000}"/>
    <hyperlink ref="E43" r:id="rId137" display="https://www.linkedin.com/learning/leading-change-in-large-distributed-organizations" xr:uid="{00000000-0004-0000-0900-000088000000}"/>
    <hyperlink ref="L43" r:id="rId138" display="https://www.linkedin.com/learning/transformational-leadership/being-powerful-in-transformation" xr:uid="{00000000-0004-0000-0900-000089000000}"/>
    <hyperlink ref="S43" r:id="rId139" display="https://www.linkedin.com/learning/leading-and-managing-the-whole-self" xr:uid="{00000000-0004-0000-0900-00008A000000}"/>
    <hyperlink ref="E44" r:id="rId140" display="https://www.linkedin.com/learning/leading-and-managing-the-whole-self" xr:uid="{00000000-0004-0000-0900-00008B000000}"/>
    <hyperlink ref="L44" r:id="rId141" display="https://www.linkedin.com/learning/leading-organizations-ten-timeless-truths-getabstract-summary" xr:uid="{00000000-0004-0000-0900-00008C000000}"/>
    <hyperlink ref="S44" r:id="rId142" display="https://www.linkedin.com/learning/managing-remote-teams-setting-expectations-behaviors-and-habits" xr:uid="{00000000-0004-0000-0900-00008D000000}"/>
    <hyperlink ref="E45" r:id="rId143" display="https://www.linkedin.com/learning/using-emotions-to-leverage-and-accelerate-change-a-guide-for-leaders" xr:uid="{00000000-0004-0000-0900-00008E000000}"/>
    <hyperlink ref="L45" r:id="rId144" display="https://www.linkedin.com/learning/humble-inquiry-the-gentle-art-of-asking-instead-of-telling-getabstract-summary" xr:uid="{00000000-0004-0000-0900-00008F000000}"/>
    <hyperlink ref="S45" r:id="rId145" display="https://www.linkedin.com/learning/decision-making-strategies-for-optimal-team-performance-a-primer-for-team-leaders" xr:uid="{00000000-0004-0000-0900-000090000000}"/>
    <hyperlink ref="E46" r:id="rId146" display="https://www.linkedin.com/learning/mastering-self-leadership" xr:uid="{00000000-0004-0000-0900-000091000000}"/>
    <hyperlink ref="L46" r:id="rId147" display="https://www.linkedin.com/learning/the-leader-s-guide-to-mindfulness-getabstract-summary" xr:uid="{00000000-0004-0000-0900-000092000000}"/>
    <hyperlink ref="S46" r:id="rId148" display="https://www.linkedin.com/learning/building-a-coaching-culture-improving-performance-through-timely-feedback/respectful-candor" xr:uid="{00000000-0004-0000-0900-000093000000}"/>
    <hyperlink ref="E47" r:id="rId149" display="https://www.linkedin.com/learning/adaptive-project-leadership/adaptive-thinking-in-practice" xr:uid="{00000000-0004-0000-0900-000094000000}"/>
    <hyperlink ref="L47" r:id="rId150" display="https://www.linkedin.com/learning/the-secret-what-great-leaders-know-and-do-getabstract-summary" xr:uid="{00000000-0004-0000-0900-000095000000}"/>
    <hyperlink ref="S47" r:id="rId151" display="https://www.linkedin.com/learning/coaching-employees-through-difficult-situations" xr:uid="{00000000-0004-0000-0900-000096000000}"/>
    <hyperlink ref="E48" r:id="rId152" display="https://www.linkedin.com/learning/building-resilience-as-a-leader" xr:uid="{00000000-0004-0000-0900-000097000000}"/>
    <hyperlink ref="L48" r:id="rId153" display="https://www.linkedin.com/learning/bring-your-human-to-work-getabstract-summary" xr:uid="{00000000-0004-0000-0900-000098000000}"/>
    <hyperlink ref="S48" r:id="rId154" display="https://www.linkedin.com/learning/creating-the-conditions-for-others-to-thrive" xr:uid="{00000000-0004-0000-0900-000099000000}"/>
    <hyperlink ref="E49" r:id="rId155" display="https://www.linkedin.com/learning/change-management-foundations/welcome" xr:uid="{00000000-0004-0000-0900-00009A000000}"/>
    <hyperlink ref="L49" r:id="rId156" display="https://www.linkedin.com/learning/establishing-work-from-home-policies" xr:uid="{00000000-0004-0000-0900-00009B000000}"/>
    <hyperlink ref="S49" r:id="rId157" display="https://www.linkedin.com/learning/developing-executive-presence/do-i-have-to-be-fake" xr:uid="{00000000-0004-0000-0900-00009C000000}"/>
    <hyperlink ref="E50" r:id="rId158" display="https://www.linkedin.com/learning/communicating-in-times-of-change" xr:uid="{00000000-0004-0000-0900-00009D000000}"/>
    <hyperlink ref="L50" r:id="rId159" display="https://www.linkedin.com/learning/taking-your-leadership-to-a-higher-level" xr:uid="{00000000-0004-0000-0900-00009E000000}"/>
    <hyperlink ref="S50" r:id="rId160" display="https://www.linkedin.com/learning/developing-your-team-members" xr:uid="{00000000-0004-0000-0900-00009F000000}"/>
    <hyperlink ref="E51" r:id="rId161" display="https://www.linkedin.com/learning/enhancing-team-innovation" xr:uid="{00000000-0004-0000-0900-0000A0000000}"/>
    <hyperlink ref="L51" r:id="rId162" display="https://www.linkedin.com/learning/the-leader-habit-blinkist-summary" xr:uid="{00000000-0004-0000-0900-0000A1000000}"/>
    <hyperlink ref="S51" r:id="rId163" display="https://www.linkedin.com/learning/employee-experience" xr:uid="{00000000-0004-0000-0900-0000A2000000}"/>
    <hyperlink ref="E52" r:id="rId164" display="https://www.linkedin.com/learning/leading-your-team-through-change" xr:uid="{00000000-0004-0000-0900-0000A3000000}"/>
    <hyperlink ref="L52" r:id="rId165" display="https://www.linkedin.com/learning/the-fearless-organization-blinkist-summary" xr:uid="{00000000-0004-0000-0900-0000A4000000}"/>
    <hyperlink ref="S52" r:id="rId166" display="https://www.linkedin.com/learning/facilitation-skills-for-managers-and-leaders" xr:uid="{00000000-0004-0000-0900-0000A5000000}"/>
    <hyperlink ref="E53" r:id="rId167" display="https://www.linkedin.com/learning/managing-organizational-change-for-managers" xr:uid="{00000000-0004-0000-0900-0000A6000000}"/>
    <hyperlink ref="L53" r:id="rId168" display="https://www.linkedin.com/learning/leading-virtually-vulnerability-and-presence-in-wfh-times" xr:uid="{00000000-0004-0000-0900-0000A7000000}"/>
    <hyperlink ref="S53" r:id="rId169" display="https://www.linkedin.com/learning/leading-and-working-in-teams" xr:uid="{00000000-0004-0000-0900-0000A8000000}"/>
    <hyperlink ref="E54" r:id="rId170" display="https://www.linkedin.com/learning/organizational-learning-and-development" xr:uid="{00000000-0004-0000-0900-0000A9000000}"/>
    <hyperlink ref="L54" r:id="rId171" display="https://www.linkedin.com/learning/what-s-next-reinventing-work-in-the-new-normal" xr:uid="{00000000-0004-0000-0900-0000AA000000}"/>
    <hyperlink ref="S54" r:id="rId172" display="https://www.linkedin.com/learning/managing-employee-performance-problems-3" xr:uid="{00000000-0004-0000-0900-0000AB000000}"/>
    <hyperlink ref="E55" r:id="rId173" display="https://www.linkedin.com/learning/risk-taking-for-leaders" xr:uid="{00000000-0004-0000-0900-0000AC000000}"/>
    <hyperlink ref="L55" r:id="rId174" display="https://www.linkedin.com/learning/advice-for-leaders-during-a-crisis" xr:uid="{00000000-0004-0000-0900-0000AD000000}"/>
    <hyperlink ref="S55" r:id="rId175" display="https://www.linkedin.com/learning/managing-for-results" xr:uid="{00000000-0004-0000-0900-0000AE000000}"/>
    <hyperlink ref="E56" r:id="rId176" display="https://www.linkedin.com/learning/sustainability-strategies" xr:uid="{00000000-0004-0000-0900-0000AF000000}"/>
    <hyperlink ref="L56" r:id="rId177" display="https://www.linkedin.com/learning/leadership-in-tech" xr:uid="{00000000-0004-0000-0900-0000B0000000}"/>
    <hyperlink ref="S56" r:id="rId178" display="https://www.linkedin.com/learning/managing-up-down-and-across-the-organization" xr:uid="{00000000-0004-0000-0900-0000B1000000}"/>
    <hyperlink ref="E57" r:id="rId179" display="https://www.linkedin.com/learning/leading-with-kindness-and-strength" xr:uid="{00000000-0004-0000-0900-0000B2000000}"/>
    <hyperlink ref="L57" r:id="rId180" display="https://www.linkedin.com/learning/conducting-motivational-1-on-1-reviews" xr:uid="{00000000-0004-0000-0900-0000B3000000}"/>
    <hyperlink ref="S57" r:id="rId181" display="https://www.linkedin.com/learning/measuring-team-performance" xr:uid="{00000000-0004-0000-0900-0000B4000000}"/>
    <hyperlink ref="E58" r:id="rId182" display="https://www.linkedin.com/learning/leading-with-values" xr:uid="{00000000-0004-0000-0900-0000B5000000}"/>
    <hyperlink ref="L58" r:id="rId183" display="https://www.linkedin.com/learning/communicating-internally-during-times-of-uncertainty" xr:uid="{00000000-0004-0000-0900-0000B6000000}"/>
    <hyperlink ref="S58" r:id="rId184" display="https://www.linkedin.com/learning/time-management-for-managers" xr:uid="{00000000-0004-0000-0900-0000B7000000}"/>
    <hyperlink ref="E59" r:id="rId185" display="https://www.linkedin.com/learning/communicating-an-enterprise-wide-transformation" xr:uid="{00000000-0004-0000-0900-0000B8000000}"/>
    <hyperlink ref="L59" r:id="rId186" display="https://www.linkedin.com/learning/on-leadership-by-jeff-weiner" xr:uid="{00000000-0004-0000-0900-0000B9000000}"/>
    <hyperlink ref="S59" r:id="rId187" display="https://www.linkedin.com/learning/business-ethics-for-managers-and-leaders-2019" xr:uid="{00000000-0004-0000-0900-0000BA000000}"/>
    <hyperlink ref="E60" r:id="rId188" display="https://www.linkedin.com/learning/how-to-innovate-and-stay-relevant-in-times-of-change-and-uncertainty-uk" xr:uid="{00000000-0004-0000-0900-0000BB000000}"/>
    <hyperlink ref="L60" r:id="rId189" display="https://www.linkedin.com/learning/a-manager-s-toolkit-for-supporting-change" xr:uid="{00000000-0004-0000-0900-0000BC000000}"/>
    <hyperlink ref="S60" r:id="rId190" display="https://www.linkedin.com/learning/managing-for-better-ideas" xr:uid="{00000000-0004-0000-0900-0000BD000000}"/>
    <hyperlink ref="E61" r:id="rId191" display="https://www.linkedin.com/learning/leading-in-uncertain-times" xr:uid="{00000000-0004-0000-0900-0000BE000000}"/>
    <hyperlink ref="L61" r:id="rId192" display="https://www.linkedin.com/learning/leading-and-managing-the-whole-self" xr:uid="{00000000-0004-0000-0900-0000BF000000}"/>
    <hyperlink ref="S61" r:id="rId193" display="https://www.linkedin.com/learning/having-career-conversations-with-your-team-members" xr:uid="{00000000-0004-0000-0900-0000C0000000}"/>
    <hyperlink ref="L62" r:id="rId194" display="https://www.linkedin.com/learning/demonstrating-accountabilty-as-a-leader" xr:uid="{00000000-0004-0000-0900-0000C1000000}"/>
    <hyperlink ref="S62" r:id="rId195" display="https://www.linkedin.com/learning/succeeding-as-a-leader-in-tech" xr:uid="{00000000-0004-0000-0900-0000C2000000}"/>
    <hyperlink ref="L63" r:id="rId196" display="https://www.linkedin.com/learning/fostering-belonging-as-a-leader" xr:uid="{00000000-0004-0000-0900-0000C3000000}"/>
    <hyperlink ref="S63" r:id="rId197" display="https://www.linkedin.com/learning/how-leaders-can-motivate-by-creating-meaning" xr:uid="{00000000-0004-0000-0900-0000C4000000}"/>
    <hyperlink ref="L64" r:id="rId198" display="https://www.linkedin.com/learning/leadership-skills-for-the-future" xr:uid="{00000000-0004-0000-0900-0000C5000000}"/>
    <hyperlink ref="S64" r:id="rId199" display="https://www.linkedin.com/learning/the-definitive-drucker-getabstract-summary" xr:uid="{00000000-0004-0000-0900-0000C6000000}"/>
    <hyperlink ref="L65" r:id="rId200" display="https://www.linkedin.com/learning/how-to-successfully-lead-a-pmo" xr:uid="{00000000-0004-0000-0900-0000C7000000}"/>
    <hyperlink ref="S65" r:id="rId201" display="https://www.linkedin.com/learning/creating-winning-teams" xr:uid="{00000000-0004-0000-0900-0000C8000000}"/>
    <hyperlink ref="L66" r:id="rId202" display="https://www.linkedin.com/learning/building-resilience-as-a-leader" xr:uid="{00000000-0004-0000-0900-0000C9000000}"/>
    <hyperlink ref="S66" r:id="rId203" display="https://www.linkedin.com/learning/creating-an-adaptable-team" xr:uid="{00000000-0004-0000-0900-0000CA000000}"/>
    <hyperlink ref="L67" r:id="rId204" display="https://www.linkedin.com/learning/coaching-skills-for-leaders-and-managers" xr:uid="{00000000-0004-0000-0900-0000CB000000}"/>
    <hyperlink ref="S67" r:id="rId205" display="https://www.linkedin.com/learning/the-superbosses-playbook" xr:uid="{00000000-0004-0000-0900-0000CC000000}"/>
    <hyperlink ref="L68" r:id="rId206" display="https://www.linkedin.com/learning/collaborative-leadership" xr:uid="{00000000-0004-0000-0900-0000CD000000}"/>
    <hyperlink ref="S68" r:id="rId207" display="https://www.linkedin.com/learning/creating-a-communications-strategy" xr:uid="{00000000-0004-0000-0900-0000CE000000}"/>
    <hyperlink ref="L69" r:id="rId208" display="https://www.linkedin.com/learning/developing-your-leadership-philosophy" xr:uid="{00000000-0004-0000-0900-0000CF000000}"/>
    <hyperlink ref="S69" r:id="rId209" display="https://www.linkedin.com/learning/leading-change-in-large-distributed-organizations" xr:uid="{00000000-0004-0000-0900-0000D0000000}"/>
    <hyperlink ref="L70" r:id="rId210" display="https://www.linkedin.com/learning/executive-decision-making/welcome" xr:uid="{00000000-0004-0000-0900-0000D1000000}"/>
    <hyperlink ref="L71" r:id="rId211" display="https://www.linkedin.com/learning/executive-leadership/communicate-to-motivate-and-inspire" xr:uid="{00000000-0004-0000-0900-0000D2000000}"/>
    <hyperlink ref="L72" r:id="rId212" display="https://www.linkedin.com/learning/human-centered-leadership/leading-with-purpose" xr:uid="{00000000-0004-0000-0900-0000D3000000}"/>
    <hyperlink ref="L73" r:id="rId213" display="https://www.linkedin.com/learning/inclusive-leadership" xr:uid="{00000000-0004-0000-0900-0000D4000000}"/>
    <hyperlink ref="L74" r:id="rId214" display="https://www.linkedin.com/learning/lead-like-a-boss" xr:uid="{00000000-0004-0000-0900-0000D5000000}"/>
    <hyperlink ref="L75" r:id="rId215" display="https://www.linkedin.com/learning/leadership-blind-spots" xr:uid="{00000000-0004-0000-0900-0000D6000000}"/>
    <hyperlink ref="L76" r:id="rId216" display="https://www.linkedin.com/learning/leading-and-working-in-teams" xr:uid="{00000000-0004-0000-0900-0000D7000000}"/>
    <hyperlink ref="L77" r:id="rId217" display="https://www.linkedin.com/learning/leading-effectively" xr:uid="{00000000-0004-0000-0900-0000D8000000}"/>
    <hyperlink ref="L78" r:id="rId218" display="https://www.linkedin.com/learning/project-management-foundations-leading-projects" xr:uid="{00000000-0004-0000-0900-0000D9000000}"/>
    <hyperlink ref="L79" r:id="rId219" display="https://www.linkedin.com/learning/leading-through-relationships" xr:uid="{00000000-0004-0000-0900-0000DA000000}"/>
    <hyperlink ref="L80" r:id="rId220" display="https://www.linkedin.com/learning/leading-with-kindness-and-strength" xr:uid="{00000000-0004-0000-0900-0000DB000000}"/>
    <hyperlink ref="L81" r:id="rId221" display="https://www.linkedin.com/learning/leading-with-purpose/employees-crave-purpose" xr:uid="{00000000-0004-0000-0900-0000DC000000}"/>
    <hyperlink ref="L82" r:id="rId222" display="https://www.linkedin.com/learning/leading-without-formal-authority" xr:uid="{00000000-0004-0000-0900-0000DD000000}"/>
    <hyperlink ref="L83" r:id="rId223" display="https://www.linkedin.com/learning/learn-the-process-of-effective-leadership" xr:uid="{00000000-0004-0000-0900-0000DE000000}"/>
    <hyperlink ref="L84" r:id="rId224" display="https://www.linkedin.com/learning/negotiating-your-leadership-success" xr:uid="{00000000-0004-0000-0900-0000DF000000}"/>
    <hyperlink ref="L85" r:id="rId225" display="https://www.linkedin.com/learning/powerless-to-powerful-taking-control" xr:uid="{00000000-0004-0000-0900-0000E0000000}"/>
    <hyperlink ref="L86" r:id="rId226" display="https://www.linkedin.com/learning/risk-taking-for-leaders/welcome" xr:uid="{00000000-0004-0000-0900-0000E1000000}"/>
    <hyperlink ref="L87" r:id="rId227" display="https://www.linkedin.com/learning/business-ethics-for-managers-and-leaders-2019" xr:uid="{00000000-0004-0000-0900-0000E2000000}"/>
    <hyperlink ref="L88" r:id="rId228" display="https://www.linkedin.com/learning/navigating-politics-as-a-senior-leader" xr:uid="{00000000-0004-0000-0900-0000E3000000}"/>
    <hyperlink ref="L89" r:id="rId229" display="https://www.linkedin.com/learning/lessons-in-enlightened-leadership" xr:uid="{00000000-0004-0000-0900-0000E4000000}"/>
    <hyperlink ref="L90" r:id="rId230" display="https://www.linkedin.com/learning/having-career-conversations-with-your-team-members" xr:uid="{00000000-0004-0000-0900-0000E5000000}"/>
    <hyperlink ref="L91" r:id="rId231" display="https://www.linkedin.com/learning/leading-with-values" xr:uid="{00000000-0004-0000-0900-0000E6000000}"/>
    <hyperlink ref="L92" r:id="rId232" display="https://www.linkedin.com/learning/building-and-managing-a-high-performing-sales-team" xr:uid="{00000000-0004-0000-0900-0000E7000000}"/>
    <hyperlink ref="L93" r:id="rId233" display="https://www.linkedin.com/learning/predictive-analytics-essential-training-for-executives" xr:uid="{00000000-0004-0000-0900-0000E8000000}"/>
    <hyperlink ref="L94" r:id="rId234" display="https://www.linkedin.com/learning/leadership-mindsets" xr:uid="{00000000-0004-0000-0900-0000E9000000}"/>
    <hyperlink ref="L95" r:id="rId235" display="https://www.linkedin.com/learning/how-leaders-can-motivate-by-creating-meaning" xr:uid="{00000000-0004-0000-0900-0000EA000000}"/>
    <hyperlink ref="L96" r:id="rId236" display="https://www.linkedin.com/learning/how-to-innovate-and-stay-relevant-in-times-of-change-and-uncertainty-uk" xr:uid="{00000000-0004-0000-0900-0000EB000000}"/>
    <hyperlink ref="L97" r:id="rId237" display="https://www.linkedin.com/learning/leading-in-uncertain-times" xr:uid="{00000000-0004-0000-0900-0000EC000000}"/>
    <hyperlink ref="L98" r:id="rId238" display="https://www.linkedin.com/learning/leading-change-in-large-distributed-organizations" xr:uid="{00000000-0004-0000-0900-0000ED000000}"/>
    <hyperlink ref="L99" r:id="rId239" display="https://www.linkedin.com/learning/the-definitive-drucker-getabstract-summary" xr:uid="{00000000-0004-0000-0900-0000EE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xr:uid="{00000000-0002-0000-0900-000000000000}">
          <x14:formula1>
            <xm:f>'All Competencies'!$A$3:$A599</xm:f>
          </x14:formula1>
          <xm:sqref>A1:C1 G1:J1 N1:Q1 U1:V1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1C4587"/>
    <outlinePr summaryBelow="0" summaryRight="0"/>
  </sheetPr>
  <dimension ref="A1:V573"/>
  <sheetViews>
    <sheetView showGridLines="0" workbookViewId="0">
      <pane ySplit="4" topLeftCell="A5" activePane="bottomLeft" state="frozen"/>
      <selection pane="bottomLeft" activeCell="F16" sqref="F16"/>
    </sheetView>
  </sheetViews>
  <sheetFormatPr baseColWidth="10" defaultColWidth="14.5" defaultRowHeight="15.75" customHeight="1" outlineLevelRow="1" x14ac:dyDescent="0.15"/>
  <cols>
    <col min="1" max="2" width="0.6640625" customWidth="1"/>
    <col min="3" max="3" width="13.5" customWidth="1"/>
    <col min="4" max="4" width="18" customWidth="1"/>
    <col min="5" max="5" width="36.83203125" customWidth="1"/>
    <col min="6" max="6" width="37.5" customWidth="1"/>
    <col min="7" max="9" width="0.6640625" customWidth="1"/>
    <col min="10" max="10" width="13.5" customWidth="1"/>
    <col min="11" max="11" width="18" customWidth="1"/>
    <col min="12" max="12" width="36.83203125" customWidth="1"/>
    <col min="13" max="13" width="37.5" customWidth="1"/>
    <col min="14" max="16" width="0.6640625" customWidth="1"/>
    <col min="17" max="17" width="13.5" customWidth="1"/>
    <col min="18" max="18" width="18" customWidth="1"/>
    <col min="19" max="19" width="36.83203125" customWidth="1"/>
    <col min="20" max="20" width="37.5" customWidth="1"/>
    <col min="21" max="22" width="0.6640625" customWidth="1"/>
  </cols>
  <sheetData>
    <row r="1" spans="1:22" ht="27.75" customHeight="1" outlineLevel="1" x14ac:dyDescent="0.15">
      <c r="A1" s="127"/>
      <c r="B1" s="127"/>
      <c r="C1" s="188" t="s">
        <v>1011</v>
      </c>
      <c r="D1" s="160"/>
      <c r="E1" s="160"/>
      <c r="F1" s="160"/>
      <c r="G1" s="127"/>
      <c r="H1" s="127"/>
      <c r="I1" s="127"/>
      <c r="J1" s="188" t="s">
        <v>1062</v>
      </c>
      <c r="K1" s="160"/>
      <c r="L1" s="160"/>
      <c r="M1" s="160"/>
      <c r="N1" s="127"/>
      <c r="O1" s="127"/>
      <c r="P1" s="127"/>
      <c r="Q1" s="188" t="s">
        <v>1103</v>
      </c>
      <c r="R1" s="160"/>
      <c r="S1" s="160"/>
      <c r="T1" s="160"/>
      <c r="U1" s="127"/>
      <c r="V1" s="127"/>
    </row>
    <row r="2" spans="1:22" ht="17" outlineLevel="1" x14ac:dyDescent="0.15">
      <c r="A2" s="128"/>
      <c r="B2" s="128"/>
      <c r="C2" s="186" t="s">
        <v>1407</v>
      </c>
      <c r="D2" s="160"/>
      <c r="E2" s="160"/>
      <c r="F2" s="160"/>
      <c r="G2" s="128"/>
      <c r="H2" s="128"/>
      <c r="I2" s="128"/>
      <c r="J2" s="186" t="s">
        <v>1407</v>
      </c>
      <c r="K2" s="160"/>
      <c r="L2" s="160"/>
      <c r="M2" s="160"/>
      <c r="N2" s="128"/>
      <c r="O2" s="128"/>
      <c r="P2" s="128"/>
      <c r="Q2" s="186" t="s">
        <v>1407</v>
      </c>
      <c r="R2" s="160"/>
      <c r="S2" s="160"/>
      <c r="T2" s="160"/>
      <c r="U2" s="128"/>
      <c r="V2" s="128"/>
    </row>
    <row r="3" spans="1:22" ht="50" customHeight="1" outlineLevel="1" x14ac:dyDescent="0.15">
      <c r="A3" s="129"/>
      <c r="B3" s="129"/>
      <c r="C3" s="187" t="str">
        <f ca="1">IFERROR(__xludf.DUMMYFUNCTION("IFERROR(UNIQUE(FILTER('Competency Learning Paths'!N:N,'Competency Learning Paths'!A:A= C1)))"),"Operational Management, Continuous improvement, Process Excellence, Organisation Excellence")</f>
        <v>Operational Management, Continuous improvement, Process Excellence, Organisation Excellence</v>
      </c>
      <c r="D3" s="160"/>
      <c r="E3" s="160"/>
      <c r="F3" s="160"/>
      <c r="G3" s="129"/>
      <c r="H3" s="129"/>
      <c r="I3" s="129"/>
      <c r="J3" s="187" t="str">
        <f ca="1">IFERROR(__xludf.DUMMYFUNCTION("IFERROR(UNIQUE(FILTER('Competency Learning Paths'!N:N,'Competency Learning Paths'!A:A= J1)))"),"Presenting, Presenting Information, Public Speaking, Oral Communication, Communicating Effectively, Training &amp; Presenting Information")</f>
        <v>Presenting, Presenting Information, Public Speaking, Oral Communication, Communicating Effectively, Training &amp; Presenting Information</v>
      </c>
      <c r="K3" s="160"/>
      <c r="L3" s="160"/>
      <c r="M3" s="160"/>
      <c r="N3" s="129"/>
      <c r="O3" s="129"/>
      <c r="P3" s="129"/>
      <c r="Q3" s="187" t="str">
        <f ca="1">IFERROR(__xludf.DUMMYFUNCTION("IFERROR(UNIQUE(FILTER('Competency Learning Paths'!N:N,'Competency Learning Paths'!A:A= Q1)))"),"Time Management, Plan and Schedule Resources, Risk Management, Team Management, Communication and Leadership Skills, Quality Control")</f>
        <v>Time Management, Plan and Schedule Resources, Risk Management, Team Management, Communication and Leadership Skills, Quality Control</v>
      </c>
      <c r="R3" s="160"/>
      <c r="S3" s="160"/>
      <c r="T3" s="160"/>
      <c r="U3" s="129"/>
      <c r="V3" s="129"/>
    </row>
    <row r="4" spans="1:22" ht="16" outlineLevel="1" x14ac:dyDescent="0.15">
      <c r="A4" s="130"/>
      <c r="B4" s="131"/>
      <c r="C4" s="132" t="str">
        <f ca="1">IFERROR(__xludf.DUMMYFUNCTION("FILTER('All Competencies'!B:B,'All Competencies'!A:A=C1)"),"Course IDs")</f>
        <v>Course IDs</v>
      </c>
      <c r="D4" s="132" t="str">
        <f ca="1">IFERROR(__xludf.DUMMYFUNCTION("FILTER('All Competencies'!C:C,'All Competencies'!A:A=C1)"),"Level")</f>
        <v>Level</v>
      </c>
      <c r="E4" s="132" t="str">
        <f ca="1">IFERROR(__xludf.DUMMYFUNCTION("FILTER('All Competencies'!D:D,'All Competencies'!A:A=C1)"),"Courses")</f>
        <v>Courses</v>
      </c>
      <c r="F4" s="132" t="str">
        <f ca="1">IFERROR(__xludf.DUMMYFUNCTION("FILTER('All Competencies'!E:E,'All Competencies'!A:A=C1)"),"Learning Paths")</f>
        <v>Learning Paths</v>
      </c>
      <c r="G4" s="133"/>
      <c r="H4" s="131"/>
      <c r="I4" s="130"/>
      <c r="J4" s="132" t="str">
        <f ca="1">IFERROR(__xludf.DUMMYFUNCTION("FILTER('All Competencies'!B:B,'All Competencies'!A:A=J1)"),"Course IDs")</f>
        <v>Course IDs</v>
      </c>
      <c r="K4" s="132" t="str">
        <f ca="1">IFERROR(__xludf.DUMMYFUNCTION("FILTER('All Competencies'!C:C,'All Competencies'!A:A=J1)"),"Level")</f>
        <v>Level</v>
      </c>
      <c r="L4" s="132" t="str">
        <f ca="1">IFERROR(__xludf.DUMMYFUNCTION("FILTER('All Competencies'!D:D,'All Competencies'!A:A=J1)"),"Courses")</f>
        <v>Courses</v>
      </c>
      <c r="M4" s="132" t="str">
        <f ca="1">IFERROR(__xludf.DUMMYFUNCTION("FILTER('All Competencies'!E:E,'All Competencies'!A:A=J1)"),"Learning Paths")</f>
        <v>Learning Paths</v>
      </c>
      <c r="N4" s="133"/>
      <c r="O4" s="131"/>
      <c r="P4" s="130"/>
      <c r="Q4" s="132" t="str">
        <f ca="1">IFERROR(__xludf.DUMMYFUNCTION("FILTER('All Competencies'!B:B,'All Competencies'!A:A=Q1)"),"Course IDs")</f>
        <v>Course IDs</v>
      </c>
      <c r="R4" s="132" t="str">
        <f ca="1">IFERROR(__xludf.DUMMYFUNCTION("FILTER('All Competencies'!C:C,'All Competencies'!A:A=Q1)"),"Level")</f>
        <v>Level</v>
      </c>
      <c r="S4" s="132" t="str">
        <f ca="1">IFERROR(__xludf.DUMMYFUNCTION("FILTER('All Competencies'!D:D,'All Competencies'!A:A=Q1)"),"Courses")</f>
        <v>Courses</v>
      </c>
      <c r="T4" s="132" t="str">
        <f ca="1">IFERROR(__xludf.DUMMYFUNCTION("FILTER('All Competencies'!E:E,'All Competencies'!A:A=Q1)"),"Learning Paths")</f>
        <v>Learning Paths</v>
      </c>
      <c r="U4" s="133"/>
      <c r="V4" s="130"/>
    </row>
    <row r="5" spans="1:22" ht="33.75" customHeight="1" x14ac:dyDescent="0.15">
      <c r="A5" s="134"/>
      <c r="B5" s="134"/>
      <c r="C5" s="135">
        <f ca="1">IFERROR(__xludf.DUMMYFUNCTION("""COMPUTED_VALUE"""),786355)</f>
        <v>786355</v>
      </c>
      <c r="D5" s="135" t="str">
        <f ca="1">IFERROR(__xludf.DUMMYFUNCTION("""COMPUTED_VALUE"""),"Advanced")</f>
        <v>Advanced</v>
      </c>
      <c r="E5" s="136" t="str">
        <f ca="1">IFERROR(__xludf.DUMMYFUNCTION("""COMPUTED_VALUE"""),"Creating a Product-Centric Organization")</f>
        <v>Creating a Product-Centric Organization</v>
      </c>
      <c r="F5" s="137" t="str">
        <f ca="1">IFERROR(__xludf.DUMMYFUNCTION("""COMPUTED_VALUE"""),"Become a Business Operations Associate")</f>
        <v>Become a Business Operations Associate</v>
      </c>
      <c r="G5" s="134"/>
      <c r="H5" s="134"/>
      <c r="I5" s="134"/>
      <c r="J5" s="135">
        <f ca="1">IFERROR(__xludf.DUMMYFUNCTION("""COMPUTED_VALUE"""),612163)</f>
        <v>612163</v>
      </c>
      <c r="K5" s="135" t="str">
        <f ca="1">IFERROR(__xludf.DUMMYFUNCTION("""COMPUTED_VALUE"""),"Beginner")</f>
        <v>Beginner</v>
      </c>
      <c r="L5" s="136" t="str">
        <f ca="1">IFERROR(__xludf.DUMMYFUNCTION("""COMPUTED_VALUE"""),"Common Meeting Problems")</f>
        <v>Common Meeting Problems</v>
      </c>
      <c r="M5" s="137" t="str">
        <f ca="1">IFERROR(__xludf.DUMMYFUNCTION("""COMPUTED_VALUE"""),"Improve Your Presentation Skills")</f>
        <v>Improve Your Presentation Skills</v>
      </c>
      <c r="N5" s="134"/>
      <c r="O5" s="134"/>
      <c r="P5" s="134"/>
      <c r="Q5" s="135">
        <f ca="1">IFERROR(__xludf.DUMMYFUNCTION("""COMPUTED_VALUE"""),2806962)</f>
        <v>2806962</v>
      </c>
      <c r="R5" s="135" t="str">
        <f ca="1">IFERROR(__xludf.DUMMYFUNCTION("""COMPUTED_VALUE"""),"Advanced")</f>
        <v>Advanced</v>
      </c>
      <c r="S5" s="136" t="str">
        <f ca="1">IFERROR(__xludf.DUMMYFUNCTION("""COMPUTED_VALUE"""),"Complex Project Tips and Tricks")</f>
        <v>Complex Project Tips and Tricks</v>
      </c>
      <c r="T5" s="137" t="str">
        <f ca="1">IFERROR(__xludf.DUMMYFUNCTION("""COMPUTED_VALUE"""),"Develop Your Project Management Skills ")</f>
        <v xml:space="preserve">Develop Your Project Management Skills </v>
      </c>
      <c r="U5" s="134"/>
      <c r="V5" s="134"/>
    </row>
    <row r="6" spans="1:22" ht="33.75" customHeight="1" x14ac:dyDescent="0.15">
      <c r="A6" s="134"/>
      <c r="B6" s="134"/>
      <c r="C6" s="138">
        <f ca="1">IFERROR(__xludf.DUMMYFUNCTION("""COMPUTED_VALUE"""),616665)</f>
        <v>616665</v>
      </c>
      <c r="D6" s="138" t="str">
        <f ca="1">IFERROR(__xludf.DUMMYFUNCTION("""COMPUTED_VALUE"""),"Advanced")</f>
        <v>Advanced</v>
      </c>
      <c r="E6" s="139" t="str">
        <f ca="1">IFERROR(__xludf.DUMMYFUNCTION("""COMPUTED_VALUE"""),"Organization Design")</f>
        <v>Organization Design</v>
      </c>
      <c r="F6" s="140" t="str">
        <f ca="1">IFERROR(__xludf.DUMMYFUNCTION("""COMPUTED_VALUE"""),"Improve Processes and Deliver Operational Excellence ")</f>
        <v xml:space="preserve">Improve Processes and Deliver Operational Excellence </v>
      </c>
      <c r="G6" s="134"/>
      <c r="H6" s="134"/>
      <c r="I6" s="134"/>
      <c r="J6" s="138">
        <f ca="1">IFERROR(__xludf.DUMMYFUNCTION("""COMPUTED_VALUE"""),612161)</f>
        <v>612161</v>
      </c>
      <c r="K6" s="138" t="str">
        <f ca="1">IFERROR(__xludf.DUMMYFUNCTION("""COMPUTED_VALUE"""),"Beginner")</f>
        <v>Beginner</v>
      </c>
      <c r="L6" s="139" t="str">
        <f ca="1">IFERROR(__xludf.DUMMYFUNCTION("""COMPUTED_VALUE"""),"Creating a Meeting Agenda")</f>
        <v>Creating a Meeting Agenda</v>
      </c>
      <c r="M6" s="140" t="str">
        <f ca="1">IFERROR(__xludf.DUMMYFUNCTION("""COMPUTED_VALUE"""),"Master Microsoft PowerPoint")</f>
        <v>Master Microsoft PowerPoint</v>
      </c>
      <c r="N6" s="134"/>
      <c r="O6" s="134"/>
      <c r="P6" s="134"/>
      <c r="Q6" s="138">
        <f ca="1">IFERROR(__xludf.DUMMYFUNCTION("""COMPUTED_VALUE"""),2822590)</f>
        <v>2822590</v>
      </c>
      <c r="R6" s="138" t="str">
        <f ca="1">IFERROR(__xludf.DUMMYFUNCTION("""COMPUTED_VALUE"""),"Advanced")</f>
        <v>Advanced</v>
      </c>
      <c r="S6" s="139" t="str">
        <f ca="1">IFERROR(__xludf.DUMMYFUNCTION("""COMPUTED_VALUE"""),"Basecamp: Project Management Best Practices")</f>
        <v>Basecamp: Project Management Best Practices</v>
      </c>
      <c r="T6" s="140" t="str">
        <f ca="1">IFERROR(__xludf.DUMMYFUNCTION("""COMPUTED_VALUE"""),"Become a Project Manager")</f>
        <v>Become a Project Manager</v>
      </c>
      <c r="U6" s="134"/>
      <c r="V6" s="134"/>
    </row>
    <row r="7" spans="1:22" ht="33.75" customHeight="1" x14ac:dyDescent="0.15">
      <c r="A7" s="134"/>
      <c r="B7" s="134"/>
      <c r="C7" s="138">
        <f ca="1">IFERROR(__xludf.DUMMYFUNCTION("""COMPUTED_VALUE"""),2825263)</f>
        <v>2825263</v>
      </c>
      <c r="D7" s="138" t="str">
        <f ca="1">IFERROR(__xludf.DUMMYFUNCTION("""COMPUTED_VALUE"""),"Advanced")</f>
        <v>Advanced</v>
      </c>
      <c r="E7" s="139" t="str">
        <f ca="1">IFERROR(__xludf.DUMMYFUNCTION("""COMPUTED_VALUE"""),"DevOps Foundations: Accelerating Continuous Delivery in the Enterprise")</f>
        <v>DevOps Foundations: Accelerating Continuous Delivery in the Enterprise</v>
      </c>
      <c r="F7" s="140" t="str">
        <f ca="1">IFERROR(__xludf.DUMMYFUNCTION("""COMPUTED_VALUE"""),"Becoming a Six Sigma Black Belt")</f>
        <v>Becoming a Six Sigma Black Belt</v>
      </c>
      <c r="G7" s="134"/>
      <c r="H7" s="134"/>
      <c r="I7" s="134"/>
      <c r="J7" s="138">
        <f ca="1">IFERROR(__xludf.DUMMYFUNCTION("""COMPUTED_VALUE"""),706912)</f>
        <v>706912</v>
      </c>
      <c r="K7" s="138" t="str">
        <f ca="1">IFERROR(__xludf.DUMMYFUNCTION("""COMPUTED_VALUE"""),"Beginner")</f>
        <v>Beginner</v>
      </c>
      <c r="L7" s="139" t="str">
        <f ca="1">IFERROR(__xludf.DUMMYFUNCTION("""COMPUTED_VALUE"""),"Establishing Credibility as a Speaker")</f>
        <v>Establishing Credibility as a Speaker</v>
      </c>
      <c r="M7" s="140" t="str">
        <f ca="1">IFERROR(__xludf.DUMMYFUNCTION("""COMPUTED_VALUE"""),"Visual Communication for Business Professionals")</f>
        <v>Visual Communication for Business Professionals</v>
      </c>
      <c r="N7" s="134"/>
      <c r="O7" s="134"/>
      <c r="P7" s="134"/>
      <c r="Q7" s="138">
        <f ca="1">IFERROR(__xludf.DUMMYFUNCTION("""COMPUTED_VALUE"""),2824370)</f>
        <v>2824370</v>
      </c>
      <c r="R7" s="138" t="str">
        <f ca="1">IFERROR(__xludf.DUMMYFUNCTION("""COMPUTED_VALUE"""),"Advanced")</f>
        <v>Advanced</v>
      </c>
      <c r="S7" s="139" t="str">
        <f ca="1">IFERROR(__xludf.DUMMYFUNCTION("""COMPUTED_VALUE"""),"Project Management for Creative Projects")</f>
        <v>Project Management for Creative Projects</v>
      </c>
      <c r="T7" s="140" t="str">
        <f ca="1">IFERROR(__xludf.DUMMYFUNCTION("""COMPUTED_VALUE"""),"Become a Project Coordinator")</f>
        <v>Become a Project Coordinator</v>
      </c>
      <c r="U7" s="134"/>
      <c r="V7" s="134"/>
    </row>
    <row r="8" spans="1:22" ht="33.75" customHeight="1" x14ac:dyDescent="0.15">
      <c r="A8" s="134"/>
      <c r="B8" s="134"/>
      <c r="C8" s="138">
        <f ca="1">IFERROR(__xludf.DUMMYFUNCTION("""COMPUTED_VALUE"""),2244038)</f>
        <v>2244038</v>
      </c>
      <c r="D8" s="138" t="str">
        <f ca="1">IFERROR(__xludf.DUMMYFUNCTION("""COMPUTED_VALUE"""),"Advanced")</f>
        <v>Advanced</v>
      </c>
      <c r="E8" s="139" t="str">
        <f ca="1">IFERROR(__xludf.DUMMYFUNCTION("""COMPUTED_VALUE"""),"Microsoft Power Automate: Advanced Business Automation")</f>
        <v>Microsoft Power Automate: Advanced Business Automation</v>
      </c>
      <c r="F8" s="140" t="str">
        <f ca="1">IFERROR(__xludf.DUMMYFUNCTION("""COMPUTED_VALUE"""),"Becoming a Six Sigma Green Belt")</f>
        <v>Becoming a Six Sigma Green Belt</v>
      </c>
      <c r="G8" s="134"/>
      <c r="H8" s="134"/>
      <c r="I8" s="134"/>
      <c r="J8" s="138">
        <f ca="1">IFERROR(__xludf.DUMMYFUNCTION("""COMPUTED_VALUE"""),430075)</f>
        <v>430075</v>
      </c>
      <c r="K8" s="138" t="str">
        <f ca="1">IFERROR(__xludf.DUMMYFUNCTION("""COMPUTED_VALUE"""),"Beginner")</f>
        <v>Beginner</v>
      </c>
      <c r="L8" s="139" t="str">
        <f ca="1">IFERROR(__xludf.DUMMYFUNCTION("""COMPUTED_VALUE"""),"Learning PowerPoint 2016")</f>
        <v>Learning PowerPoint 2016</v>
      </c>
      <c r="M8" s="140" t="str">
        <f ca="1">IFERROR(__xludf.DUMMYFUNCTION("""COMPUTED_VALUE"""),"Getting Started with Microsoft PowerPoint")</f>
        <v>Getting Started with Microsoft PowerPoint</v>
      </c>
      <c r="N8" s="134"/>
      <c r="O8" s="134"/>
      <c r="P8" s="134"/>
      <c r="Q8" s="138">
        <f ca="1">IFERROR(__xludf.DUMMYFUNCTION("""COMPUTED_VALUE"""),2825403)</f>
        <v>2825403</v>
      </c>
      <c r="R8" s="138" t="str">
        <f ca="1">IFERROR(__xludf.DUMMYFUNCTION("""COMPUTED_VALUE"""),"Advanced")</f>
        <v>Advanced</v>
      </c>
      <c r="S8" s="139" t="str">
        <f ca="1">IFERROR(__xludf.DUMMYFUNCTION("""COMPUTED_VALUE"""),"Becoming an Agile Coach")</f>
        <v>Becoming an Agile Coach</v>
      </c>
      <c r="T8" s="140" t="str">
        <f ca="1">IFERROR(__xludf.DUMMYFUNCTION("""COMPUTED_VALUE"""),"Become a Project Scheduler")</f>
        <v>Become a Project Scheduler</v>
      </c>
      <c r="U8" s="134"/>
      <c r="V8" s="134"/>
    </row>
    <row r="9" spans="1:22" ht="33.75" customHeight="1" x14ac:dyDescent="0.15">
      <c r="A9" s="134"/>
      <c r="B9" s="134"/>
      <c r="C9" s="138">
        <f ca="1">IFERROR(__xludf.DUMMYFUNCTION("""COMPUTED_VALUE"""),2831004)</f>
        <v>2831004</v>
      </c>
      <c r="D9" s="138" t="str">
        <f ca="1">IFERROR(__xludf.DUMMYFUNCTION("""COMPUTED_VALUE"""),"Advanced")</f>
        <v>Advanced</v>
      </c>
      <c r="E9" s="139" t="str">
        <f ca="1">IFERROR(__xludf.DUMMYFUNCTION("""COMPUTED_VALUE"""),"Mastering Organizational Chaos")</f>
        <v>Mastering Organizational Chaos</v>
      </c>
      <c r="F9" s="140" t="str">
        <f ca="1">IFERROR(__xludf.DUMMYFUNCTION("""COMPUTED_VALUE"""),"Build a Privacy Program")</f>
        <v>Build a Privacy Program</v>
      </c>
      <c r="G9" s="134"/>
      <c r="H9" s="134"/>
      <c r="I9" s="134"/>
      <c r="J9" s="138">
        <f ca="1">IFERROR(__xludf.DUMMYFUNCTION("""COMPUTED_VALUE"""),748565)</f>
        <v>748565</v>
      </c>
      <c r="K9" s="138" t="str">
        <f ca="1">IFERROR(__xludf.DUMMYFUNCTION("""COMPUTED_VALUE"""),"Beginner")</f>
        <v>Beginner</v>
      </c>
      <c r="L9" s="139" t="str">
        <f ca="1">IFERROR(__xludf.DUMMYFUNCTION("""COMPUTED_VALUE"""),"Learning PowerPoint 2019")</f>
        <v>Learning PowerPoint 2019</v>
      </c>
      <c r="M9" s="140" t="str">
        <f ca="1">IFERROR(__xludf.DUMMYFUNCTION("""COMPUTED_VALUE"""),"Visual Communication for Business Professionals")</f>
        <v>Visual Communication for Business Professionals</v>
      </c>
      <c r="N9" s="134"/>
      <c r="O9" s="134"/>
      <c r="P9" s="134"/>
      <c r="Q9" s="138">
        <f ca="1">IFERROR(__xludf.DUMMYFUNCTION("""COMPUTED_VALUE"""),765311)</f>
        <v>765311</v>
      </c>
      <c r="R9" s="138" t="str">
        <f ca="1">IFERROR(__xludf.DUMMYFUNCTION("""COMPUTED_VALUE"""),"Beginner")</f>
        <v>Beginner</v>
      </c>
      <c r="S9" s="139" t="str">
        <f ca="1">IFERROR(__xludf.DUMMYFUNCTION("""COMPUTED_VALUE"""),"Project Management Foundations")</f>
        <v>Project Management Foundations</v>
      </c>
      <c r="T9" s="140" t="str">
        <f ca="1">IFERROR(__xludf.DUMMYFUNCTION("""COMPUTED_VALUE"""),"Become an Agile Project Manager")</f>
        <v>Become an Agile Project Manager</v>
      </c>
      <c r="U9" s="134"/>
      <c r="V9" s="134"/>
    </row>
    <row r="10" spans="1:22" ht="33.75" customHeight="1" x14ac:dyDescent="0.15">
      <c r="A10" s="134"/>
      <c r="B10" s="134"/>
      <c r="C10" s="138">
        <f ca="1">IFERROR(__xludf.DUMMYFUNCTION("""COMPUTED_VALUE"""),2801188)</f>
        <v>2801188</v>
      </c>
      <c r="D10" s="138" t="str">
        <f ca="1">IFERROR(__xludf.DUMMYFUNCTION("""COMPUTED_VALUE"""),"Beginner")</f>
        <v>Beginner</v>
      </c>
      <c r="E10" s="139" t="str">
        <f ca="1">IFERROR(__xludf.DUMMYFUNCTION("""COMPUTED_VALUE"""),"A3 Problem Solving for Continuous Improvement")</f>
        <v>A3 Problem Solving for Continuous Improvement</v>
      </c>
      <c r="F10" s="150" t="str">
        <f ca="1">IFERROR(__xludf.DUMMYFUNCTION("""COMPUTED_VALUE"""),"Getting Started with Microsoft 365")</f>
        <v>Getting Started with Microsoft 365</v>
      </c>
      <c r="G10" s="134"/>
      <c r="H10" s="134"/>
      <c r="I10" s="134"/>
      <c r="J10" s="138">
        <f ca="1">IFERROR(__xludf.DUMMYFUNCTION("""COMPUTED_VALUE"""),512778)</f>
        <v>512778</v>
      </c>
      <c r="K10" s="138" t="str">
        <f ca="1">IFERROR(__xludf.DUMMYFUNCTION("""COMPUTED_VALUE"""),"Beginner")</f>
        <v>Beginner</v>
      </c>
      <c r="L10" s="139" t="str">
        <f ca="1">IFERROR(__xludf.DUMMYFUNCTION("""COMPUTED_VALUE"""),"Managing Meetings")</f>
        <v>Managing Meetings</v>
      </c>
      <c r="M10" s="142"/>
      <c r="N10" s="134"/>
      <c r="O10" s="134"/>
      <c r="P10" s="134"/>
      <c r="Q10" s="138">
        <f ca="1">IFERROR(__xludf.DUMMYFUNCTION("""COMPUTED_VALUE"""),774893)</f>
        <v>774893</v>
      </c>
      <c r="R10" s="138" t="str">
        <f ca="1">IFERROR(__xludf.DUMMYFUNCTION("""COMPUTED_VALUE"""),"Beginner")</f>
        <v>Beginner</v>
      </c>
      <c r="S10" s="139" t="str">
        <f ca="1">IFERROR(__xludf.DUMMYFUNCTION("""COMPUTED_VALUE"""),"Project Management Foundations: Communication")</f>
        <v>Project Management Foundations: Communication</v>
      </c>
      <c r="T10" s="150" t="str">
        <f ca="1">IFERROR(__xludf.DUMMYFUNCTION("""COMPUTED_VALUE"""),"Become a Six Sigma Green Belt")</f>
        <v>Become a Six Sigma Green Belt</v>
      </c>
      <c r="U10" s="134"/>
      <c r="V10" s="134"/>
    </row>
    <row r="11" spans="1:22" ht="33.75" customHeight="1" x14ac:dyDescent="0.15">
      <c r="A11" s="134"/>
      <c r="B11" s="134"/>
      <c r="C11" s="138">
        <f ca="1">IFERROR(__xludf.DUMMYFUNCTION("""COMPUTED_VALUE"""),2811714)</f>
        <v>2811714</v>
      </c>
      <c r="D11" s="138" t="str">
        <f ca="1">IFERROR(__xludf.DUMMYFUNCTION("""COMPUTED_VALUE"""),"Beginner")</f>
        <v>Beginner</v>
      </c>
      <c r="E11" s="139" t="str">
        <f ca="1">IFERROR(__xludf.DUMMYFUNCTION("""COMPUTED_VALUE"""),"Cost Reduction: Cut Costs and Maximize Profits")</f>
        <v>Cost Reduction: Cut Costs and Maximize Profits</v>
      </c>
      <c r="F11" s="140" t="str">
        <f ca="1">IFERROR(__xludf.DUMMYFUNCTION("""COMPUTED_VALUE"""),"Stay Competitive Using Design Thinking")</f>
        <v>Stay Competitive Using Design Thinking</v>
      </c>
      <c r="G11" s="134"/>
      <c r="H11" s="134"/>
      <c r="I11" s="134"/>
      <c r="J11" s="138">
        <f ca="1">IFERROR(__xludf.DUMMYFUNCTION("""COMPUTED_VALUE"""),5016700)</f>
        <v>5016700</v>
      </c>
      <c r="K11" s="138" t="str">
        <f ca="1">IFERROR(__xludf.DUMMYFUNCTION("""COMPUTED_VALUE"""),"Beginner")</f>
        <v>Beginner</v>
      </c>
      <c r="L11" s="139" t="str">
        <f ca="1">IFERROR(__xludf.DUMMYFUNCTION("""COMPUTED_VALUE"""),"Overcoming Your Fear of Public Speaking")</f>
        <v>Overcoming Your Fear of Public Speaking</v>
      </c>
      <c r="M11" s="141"/>
      <c r="N11" s="134"/>
      <c r="O11" s="134"/>
      <c r="P11" s="134"/>
      <c r="Q11" s="138">
        <f ca="1">IFERROR(__xludf.DUMMYFUNCTION("""COMPUTED_VALUE"""),756288)</f>
        <v>756288</v>
      </c>
      <c r="R11" s="138" t="str">
        <f ca="1">IFERROR(__xludf.DUMMYFUNCTION("""COMPUTED_VALUE"""),"Beginner")</f>
        <v>Beginner</v>
      </c>
      <c r="S11" s="139" t="str">
        <f ca="1">IFERROR(__xludf.DUMMYFUNCTION("""COMPUTED_VALUE"""),"Project Management Foundations: Integration")</f>
        <v>Project Management Foundations: Integration</v>
      </c>
      <c r="T11" s="140" t="str">
        <f ca="1">IFERROR(__xludf.DUMMYFUNCTION("""COMPUTED_VALUE"""),"Become a Government Project Manager")</f>
        <v>Become a Government Project Manager</v>
      </c>
      <c r="U11" s="134"/>
      <c r="V11" s="134"/>
    </row>
    <row r="12" spans="1:22" ht="33.75" customHeight="1" x14ac:dyDescent="0.15">
      <c r="A12" s="134"/>
      <c r="B12" s="134"/>
      <c r="C12" s="138">
        <f ca="1">IFERROR(__xludf.DUMMYFUNCTION("""COMPUTED_VALUE"""),508618)</f>
        <v>508618</v>
      </c>
      <c r="D12" s="138" t="str">
        <f ca="1">IFERROR(__xludf.DUMMYFUNCTION("""COMPUTED_VALUE"""),"Beginner")</f>
        <v>Beginner</v>
      </c>
      <c r="E12" s="139" t="str">
        <f ca="1">IFERROR(__xludf.DUMMYFUNCTION("""COMPUTED_VALUE"""),"DevOps Foundations")</f>
        <v>DevOps Foundations</v>
      </c>
      <c r="F12" s="140" t="str">
        <f ca="1">IFERROR(__xludf.DUMMYFUNCTION("""COMPUTED_VALUE"""),"Become a Six Sigma Yellow Belt")</f>
        <v>Become a Six Sigma Yellow Belt</v>
      </c>
      <c r="G12" s="134"/>
      <c r="H12" s="134"/>
      <c r="I12" s="134"/>
      <c r="J12" s="138">
        <f ca="1">IFERROR(__xludf.DUMMYFUNCTION("""COMPUTED_VALUE"""),706911)</f>
        <v>706911</v>
      </c>
      <c r="K12" s="138" t="str">
        <f ca="1">IFERROR(__xludf.DUMMYFUNCTION("""COMPUTED_VALUE"""),"Beginner")</f>
        <v>Beginner</v>
      </c>
      <c r="L12" s="139" t="str">
        <f ca="1">IFERROR(__xludf.DUMMYFUNCTION("""COMPUTED_VALUE"""),"Public Speaking Foundations")</f>
        <v>Public Speaking Foundations</v>
      </c>
      <c r="M12" s="141"/>
      <c r="N12" s="134"/>
      <c r="O12" s="134"/>
      <c r="P12" s="134"/>
      <c r="Q12" s="138">
        <f ca="1">IFERROR(__xludf.DUMMYFUNCTION("""COMPUTED_VALUE"""),159186)</f>
        <v>159186</v>
      </c>
      <c r="R12" s="138" t="str">
        <f ca="1">IFERROR(__xludf.DUMMYFUNCTION("""COMPUTED_VALUE"""),"Beginner")</f>
        <v>Beginner</v>
      </c>
      <c r="S12" s="139" t="str">
        <f ca="1">IFERROR(__xludf.DUMMYFUNCTION("""COMPUTED_VALUE"""),"Project Management Foundations: Quality")</f>
        <v>Project Management Foundations: Quality</v>
      </c>
      <c r="T12" s="140" t="str">
        <f ca="1">IFERROR(__xludf.DUMMYFUNCTION("""COMPUTED_VALUE"""),"Become a Healthcare Project Manager")</f>
        <v>Become a Healthcare Project Manager</v>
      </c>
      <c r="U12" s="134"/>
      <c r="V12" s="134"/>
    </row>
    <row r="13" spans="1:22" ht="33.75" customHeight="1" x14ac:dyDescent="0.15">
      <c r="A13" s="134"/>
      <c r="B13" s="134"/>
      <c r="C13" s="138">
        <f ca="1">IFERROR(__xludf.DUMMYFUNCTION("""COMPUTED_VALUE"""),731733)</f>
        <v>731733</v>
      </c>
      <c r="D13" s="138" t="str">
        <f ca="1">IFERROR(__xludf.DUMMYFUNCTION("""COMPUTED_VALUE"""),"Beginner")</f>
        <v>Beginner</v>
      </c>
      <c r="E13" s="139" t="str">
        <f ca="1">IFERROR(__xludf.DUMMYFUNCTION("""COMPUTED_VALUE"""),"Inventory Management Foundations")</f>
        <v>Inventory Management Foundations</v>
      </c>
      <c r="F13" s="142"/>
      <c r="G13" s="134"/>
      <c r="H13" s="134"/>
      <c r="I13" s="134"/>
      <c r="J13" s="138">
        <f ca="1">IFERROR(__xludf.DUMMYFUNCTION("""COMPUTED_VALUE"""),124071)</f>
        <v>124071</v>
      </c>
      <c r="K13" s="138" t="str">
        <f ca="1">IFERROR(__xludf.DUMMYFUNCTION("""COMPUTED_VALUE"""),"Beginner")</f>
        <v>Beginner</v>
      </c>
      <c r="L13" s="139" t="str">
        <f ca="1">IFERROR(__xludf.DUMMYFUNCTION("""COMPUTED_VALUE"""),"Running a Design Business: Presentation Skills")</f>
        <v>Running a Design Business: Presentation Skills</v>
      </c>
      <c r="M13" s="142"/>
      <c r="N13" s="134"/>
      <c r="O13" s="134"/>
      <c r="P13" s="134"/>
      <c r="Q13" s="138">
        <f ca="1">IFERROR(__xludf.DUMMYFUNCTION("""COMPUTED_VALUE"""),612167)</f>
        <v>612167</v>
      </c>
      <c r="R13" s="138" t="str">
        <f ca="1">IFERROR(__xludf.DUMMYFUNCTION("""COMPUTED_VALUE"""),"Beginner")</f>
        <v>Beginner</v>
      </c>
      <c r="S13" s="139" t="str">
        <f ca="1">IFERROR(__xludf.DUMMYFUNCTION("""COMPUTED_VALUE"""),"Project Management Foundations: Small Projects")</f>
        <v>Project Management Foundations: Small Projects</v>
      </c>
      <c r="T13" s="150" t="str">
        <f ca="1">IFERROR(__xludf.DUMMYFUNCTION("""COMPUTED_VALUE"""),"Become a Six Sigma Black Belt")</f>
        <v>Become a Six Sigma Black Belt</v>
      </c>
      <c r="U13" s="134"/>
      <c r="V13" s="134"/>
    </row>
    <row r="14" spans="1:22" ht="33.75" customHeight="1" x14ac:dyDescent="0.15">
      <c r="A14" s="134"/>
      <c r="B14" s="134"/>
      <c r="C14" s="138">
        <f ca="1">IFERROR(__xludf.DUMMYFUNCTION("""COMPUTED_VALUE"""),774896)</f>
        <v>774896</v>
      </c>
      <c r="D14" s="138" t="str">
        <f ca="1">IFERROR(__xludf.DUMMYFUNCTION("""COMPUTED_VALUE"""),"Beginner")</f>
        <v>Beginner</v>
      </c>
      <c r="E14" s="139" t="str">
        <f ca="1">IFERROR(__xludf.DUMMYFUNCTION("""COMPUTED_VALUE"""),"Job Skills: Supply Chain and Operations")</f>
        <v>Job Skills: Supply Chain and Operations</v>
      </c>
      <c r="F14" s="141"/>
      <c r="G14" s="134"/>
      <c r="H14" s="134"/>
      <c r="I14" s="134"/>
      <c r="J14" s="138">
        <f ca="1">IFERROR(__xludf.DUMMYFUNCTION("""COMPUTED_VALUE"""),2812533)</f>
        <v>2812533</v>
      </c>
      <c r="K14" s="138" t="str">
        <f ca="1">IFERROR(__xludf.DUMMYFUNCTION("""COMPUTED_VALUE"""),"Beginner")</f>
        <v>Beginner</v>
      </c>
      <c r="L14" s="139" t="str">
        <f ca="1">IFERROR(__xludf.DUMMYFUNCTION("""COMPUTED_VALUE"""),"Own Your Voice: Improve Presentations and Executive Presence")</f>
        <v>Own Your Voice: Improve Presentations and Executive Presence</v>
      </c>
      <c r="M14" s="141"/>
      <c r="N14" s="134"/>
      <c r="O14" s="134"/>
      <c r="P14" s="134"/>
      <c r="Q14" s="138">
        <f ca="1">IFERROR(__xludf.DUMMYFUNCTION("""COMPUTED_VALUE"""),2802462)</f>
        <v>2802462</v>
      </c>
      <c r="R14" s="138" t="str">
        <f ca="1">IFERROR(__xludf.DUMMYFUNCTION("""COMPUTED_VALUE"""),"Beginner")</f>
        <v>Beginner</v>
      </c>
      <c r="S14" s="139" t="str">
        <f ca="1">IFERROR(__xludf.DUMMYFUNCTION("""COMPUTED_VALUE"""),"Project Management Starts with Laying Good Ground Rules")</f>
        <v>Project Management Starts with Laying Good Ground Rules</v>
      </c>
      <c r="T14" s="140" t="str">
        <f ca="1">IFERROR(__xludf.DUMMYFUNCTION("""COMPUTED_VALUE"""),"Become a Business Analyst")</f>
        <v>Become a Business Analyst</v>
      </c>
      <c r="U14" s="134"/>
      <c r="V14" s="134"/>
    </row>
    <row r="15" spans="1:22" ht="33.75" customHeight="1" x14ac:dyDescent="0.15">
      <c r="A15" s="134"/>
      <c r="B15" s="134"/>
      <c r="C15" s="138">
        <f ca="1">IFERROR(__xludf.DUMMYFUNCTION("""COMPUTED_VALUE"""),590824)</f>
        <v>590824</v>
      </c>
      <c r="D15" s="138" t="str">
        <f ca="1">IFERROR(__xludf.DUMMYFUNCTION("""COMPUTED_VALUE"""),"Beginner")</f>
        <v>Beginner</v>
      </c>
      <c r="E15" s="139" t="str">
        <f ca="1">IFERROR(__xludf.DUMMYFUNCTION("""COMPUTED_VALUE"""),"Lean Foundations")</f>
        <v>Lean Foundations</v>
      </c>
      <c r="F15" s="141"/>
      <c r="G15" s="134"/>
      <c r="H15" s="134"/>
      <c r="I15" s="134"/>
      <c r="J15" s="138">
        <f ca="1">IFERROR(__xludf.DUMMYFUNCTION("""COMPUTED_VALUE"""),2817015)</f>
        <v>2817015</v>
      </c>
      <c r="K15" s="138" t="str">
        <f ca="1">IFERROR(__xludf.DUMMYFUNCTION("""COMPUTED_VALUE"""),"Beginner")</f>
        <v>Beginner</v>
      </c>
      <c r="L15" s="139" t="str">
        <f ca="1">IFERROR(__xludf.DUMMYFUNCTION("""COMPUTED_VALUE"""),"Public Speaking: Energize and Engage Your Audience")</f>
        <v>Public Speaking: Energize and Engage Your Audience</v>
      </c>
      <c r="M15" s="141"/>
      <c r="N15" s="134"/>
      <c r="O15" s="134"/>
      <c r="P15" s="134"/>
      <c r="Q15" s="138">
        <f ca="1">IFERROR(__xludf.DUMMYFUNCTION("""COMPUTED_VALUE"""),724785)</f>
        <v>724785</v>
      </c>
      <c r="R15" s="138" t="str">
        <f ca="1">IFERROR(__xludf.DUMMYFUNCTION("""COMPUTED_VALUE"""),"Beginner")</f>
        <v>Beginner</v>
      </c>
      <c r="S15" s="139" t="str">
        <f ca="1">IFERROR(__xludf.DUMMYFUNCTION("""COMPUTED_VALUE"""),"Project Management: Preventing Scope Creep")</f>
        <v>Project Management: Preventing Scope Creep</v>
      </c>
      <c r="T15" s="140" t="str">
        <f ca="1">IFERROR(__xludf.DUMMYFUNCTION("""COMPUTED_VALUE"""),"Prepare for the PMI ACP Certification")</f>
        <v>Prepare for the PMI ACP Certification</v>
      </c>
      <c r="U15" s="134"/>
      <c r="V15" s="134"/>
    </row>
    <row r="16" spans="1:22" ht="33.75" customHeight="1" x14ac:dyDescent="0.15">
      <c r="A16" s="134"/>
      <c r="B16" s="134"/>
      <c r="C16" s="138">
        <f ca="1">IFERROR(__xludf.DUMMYFUNCTION("""COMPUTED_VALUE"""),731734)</f>
        <v>731734</v>
      </c>
      <c r="D16" s="138" t="str">
        <f ca="1">IFERROR(__xludf.DUMMYFUNCTION("""COMPUTED_VALUE"""),"Beginner")</f>
        <v>Beginner</v>
      </c>
      <c r="E16" s="139" t="str">
        <f ca="1">IFERROR(__xludf.DUMMYFUNCTION("""COMPUTED_VALUE"""),"Lean Inventory Management")</f>
        <v>Lean Inventory Management</v>
      </c>
      <c r="F16" s="141"/>
      <c r="G16" s="134"/>
      <c r="H16" s="134"/>
      <c r="I16" s="134"/>
      <c r="J16" s="138">
        <f ca="1">IFERROR(__xludf.DUMMYFUNCTION("""COMPUTED_VALUE"""),2813181)</f>
        <v>2813181</v>
      </c>
      <c r="K16" s="138" t="str">
        <f ca="1">IFERROR(__xludf.DUMMYFUNCTION("""COMPUTED_VALUE"""),"Beginner")</f>
        <v>Beginner</v>
      </c>
      <c r="L16" s="139" t="str">
        <f ca="1">IFERROR(__xludf.DUMMYFUNCTION("""COMPUTED_VALUE"""),"Presentation Tips for Pitching to Investors")</f>
        <v>Presentation Tips for Pitching to Investors</v>
      </c>
      <c r="M16" s="141"/>
      <c r="N16" s="134"/>
      <c r="O16" s="134"/>
      <c r="P16" s="134"/>
      <c r="Q16" s="138">
        <f ca="1">IFERROR(__xludf.DUMMYFUNCTION("""COMPUTED_VALUE"""),5034166)</f>
        <v>5034166</v>
      </c>
      <c r="R16" s="138" t="str">
        <f ca="1">IFERROR(__xludf.DUMMYFUNCTION("""COMPUTED_VALUE"""),"Beginner")</f>
        <v>Beginner</v>
      </c>
      <c r="S16" s="139" t="str">
        <f ca="1">IFERROR(__xludf.DUMMYFUNCTION("""COMPUTED_VALUE"""),"Project Management Foundations: Ethics")</f>
        <v>Project Management Foundations: Ethics</v>
      </c>
      <c r="T16" s="140" t="str">
        <f ca="1">IFERROR(__xludf.DUMMYFUNCTION("""COMPUTED_VALUE"""),"Become a Technical Program Manager")</f>
        <v>Become a Technical Program Manager</v>
      </c>
      <c r="U16" s="134"/>
      <c r="V16" s="134"/>
    </row>
    <row r="17" spans="1:22" ht="33.75" customHeight="1" x14ac:dyDescent="0.15">
      <c r="A17" s="134"/>
      <c r="B17" s="134"/>
      <c r="C17" s="138">
        <f ca="1">IFERROR(__xludf.DUMMYFUNCTION("""COMPUTED_VALUE"""),386880)</f>
        <v>386880</v>
      </c>
      <c r="D17" s="138" t="str">
        <f ca="1">IFERROR(__xludf.DUMMYFUNCTION("""COMPUTED_VALUE"""),"Beginner")</f>
        <v>Beginner</v>
      </c>
      <c r="E17" s="139" t="str">
        <f ca="1">IFERROR(__xludf.DUMMYFUNCTION("""COMPUTED_VALUE"""),"Lean Six Sigma Foundations")</f>
        <v>Lean Six Sigma Foundations</v>
      </c>
      <c r="F17" s="141"/>
      <c r="G17" s="134"/>
      <c r="H17" s="134"/>
      <c r="I17" s="134"/>
      <c r="J17" s="138">
        <f ca="1">IFERROR(__xludf.DUMMYFUNCTION("""COMPUTED_VALUE"""),2819070)</f>
        <v>2819070</v>
      </c>
      <c r="K17" s="138" t="str">
        <f ca="1">IFERROR(__xludf.DUMMYFUNCTION("""COMPUTED_VALUE"""),"Beginner")</f>
        <v>Beginner</v>
      </c>
      <c r="L17" s="139" t="str">
        <f ca="1">IFERROR(__xludf.DUMMYFUNCTION("""COMPUTED_VALUE"""),"How to Present and Stay on Point")</f>
        <v>How to Present and Stay on Point</v>
      </c>
      <c r="M17" s="141"/>
      <c r="N17" s="134"/>
      <c r="O17" s="134"/>
      <c r="P17" s="134"/>
      <c r="Q17" s="138">
        <f ca="1">IFERROR(__xludf.DUMMYFUNCTION("""COMPUTED_VALUE"""),5043072)</f>
        <v>5043072</v>
      </c>
      <c r="R17" s="138" t="str">
        <f ca="1">IFERROR(__xludf.DUMMYFUNCTION("""COMPUTED_VALUE"""),"Beginner")</f>
        <v>Beginner</v>
      </c>
      <c r="S17" s="139" t="str">
        <f ca="1">IFERROR(__xludf.DUMMYFUNCTION("""COMPUTED_VALUE"""),"Skilled Trades: Resumes and Portfolios")</f>
        <v>Skilled Trades: Resumes and Portfolios</v>
      </c>
      <c r="T17" s="140" t="str">
        <f ca="1">IFERROR(__xludf.DUMMYFUNCTION("""COMPUTED_VALUE"""),"Become a Program Manager")</f>
        <v>Become a Program Manager</v>
      </c>
      <c r="U17" s="134"/>
      <c r="V17" s="134"/>
    </row>
    <row r="18" spans="1:22" ht="33.75" customHeight="1" x14ac:dyDescent="0.15">
      <c r="A18" s="134"/>
      <c r="B18" s="134"/>
      <c r="C18" s="138">
        <f ca="1">IFERROR(__xludf.DUMMYFUNCTION("""COMPUTED_VALUE"""),196589)</f>
        <v>196589</v>
      </c>
      <c r="D18" s="138" t="str">
        <f ca="1">IFERROR(__xludf.DUMMYFUNCTION("""COMPUTED_VALUE"""),"Beginner")</f>
        <v>Beginner</v>
      </c>
      <c r="E18" s="139" t="str">
        <f ca="1">IFERROR(__xludf.DUMMYFUNCTION("""COMPUTED_VALUE"""),"Operations Management Foundations")</f>
        <v>Operations Management Foundations</v>
      </c>
      <c r="F18" s="141"/>
      <c r="G18" s="134"/>
      <c r="H18" s="134"/>
      <c r="I18" s="134"/>
      <c r="J18" s="138">
        <f ca="1">IFERROR(__xludf.DUMMYFUNCTION("""COMPUTED_VALUE"""),2822372)</f>
        <v>2822372</v>
      </c>
      <c r="K18" s="138" t="str">
        <f ca="1">IFERROR(__xludf.DUMMYFUNCTION("""COMPUTED_VALUE"""),"Beginner")</f>
        <v>Beginner</v>
      </c>
      <c r="L18" s="139" t="str">
        <f ca="1">IFERROR(__xludf.DUMMYFUNCTION("""COMPUTED_VALUE"""),"Using Video to Convey Your Passion and Personality")</f>
        <v>Using Video to Convey Your Passion and Personality</v>
      </c>
      <c r="M18" s="141"/>
      <c r="N18" s="134"/>
      <c r="O18" s="134"/>
      <c r="P18" s="134"/>
      <c r="Q18" s="138">
        <f ca="1">IFERROR(__xludf.DUMMYFUNCTION("""COMPUTED_VALUE"""),2253159)</f>
        <v>2253159</v>
      </c>
      <c r="R18" s="138" t="str">
        <f ca="1">IFERROR(__xludf.DUMMYFUNCTION("""COMPUTED_VALUE"""),"Beginner")</f>
        <v>Beginner</v>
      </c>
      <c r="S18" s="139" t="str">
        <f ca="1">IFERROR(__xludf.DUMMYFUNCTION("""COMPUTED_VALUE"""),"Project Management Foundations: Requirements")</f>
        <v>Project Management Foundations: Requirements</v>
      </c>
      <c r="T18" s="140" t="str">
        <f ca="1">IFERROR(__xludf.DUMMYFUNCTION("""COMPUTED_VALUE"""),"Become a Software Project Manager")</f>
        <v>Become a Software Project Manager</v>
      </c>
      <c r="U18" s="134"/>
      <c r="V18" s="134"/>
    </row>
    <row r="19" spans="1:22" ht="33.75" customHeight="1" x14ac:dyDescent="0.15">
      <c r="A19" s="134"/>
      <c r="B19" s="134"/>
      <c r="C19" s="138">
        <f ca="1">IFERROR(__xludf.DUMMYFUNCTION("""COMPUTED_VALUE"""),365729)</f>
        <v>365729</v>
      </c>
      <c r="D19" s="138" t="str">
        <f ca="1">IFERROR(__xludf.DUMMYFUNCTION("""COMPUTED_VALUE"""),"Beginner")</f>
        <v>Beginner</v>
      </c>
      <c r="E19" s="139" t="str">
        <f ca="1">IFERROR(__xludf.DUMMYFUNCTION("""COMPUTED_VALUE"""),"Process Improvement Foundations")</f>
        <v>Process Improvement Foundations</v>
      </c>
      <c r="F19" s="141"/>
      <c r="G19" s="134"/>
      <c r="H19" s="134"/>
      <c r="I19" s="134"/>
      <c r="J19" s="138">
        <f ca="1">IFERROR(__xludf.DUMMYFUNCTION("""COMPUTED_VALUE"""),2824177)</f>
        <v>2824177</v>
      </c>
      <c r="K19" s="138" t="str">
        <f ca="1">IFERROR(__xludf.DUMMYFUNCTION("""COMPUTED_VALUE"""),"Beginner")</f>
        <v>Beginner</v>
      </c>
      <c r="L19" s="139" t="str">
        <f ca="1">IFERROR(__xludf.DUMMYFUNCTION("""COMPUTED_VALUE"""),"How to Project Vocal Confidence")</f>
        <v>How to Project Vocal Confidence</v>
      </c>
      <c r="M19" s="141"/>
      <c r="N19" s="134"/>
      <c r="O19" s="134"/>
      <c r="P19" s="134"/>
      <c r="Q19" s="138">
        <f ca="1">IFERROR(__xludf.DUMMYFUNCTION("""COMPUTED_VALUE"""),2254037)</f>
        <v>2254037</v>
      </c>
      <c r="R19" s="138" t="str">
        <f ca="1">IFERROR(__xludf.DUMMYFUNCTION("""COMPUTED_VALUE"""),"Beginner")</f>
        <v>Beginner</v>
      </c>
      <c r="S19" s="139" t="str">
        <f ca="1">IFERROR(__xludf.DUMMYFUNCTION("""COMPUTED_VALUE"""),"Project Management Foundations: Teams")</f>
        <v>Project Management Foundations: Teams</v>
      </c>
      <c r="T19" s="140" t="str">
        <f ca="1">IFERROR(__xludf.DUMMYFUNCTION("""COMPUTED_VALUE"""),"Become a Portfolio Manager")</f>
        <v>Become a Portfolio Manager</v>
      </c>
      <c r="U19" s="134"/>
      <c r="V19" s="134"/>
    </row>
    <row r="20" spans="1:22" ht="33.75" customHeight="1" x14ac:dyDescent="0.15">
      <c r="A20" s="134"/>
      <c r="B20" s="134"/>
      <c r="C20" s="138">
        <f ca="1">IFERROR(__xludf.DUMMYFUNCTION("""COMPUTED_VALUE"""),385661)</f>
        <v>385661</v>
      </c>
      <c r="D20" s="138" t="str">
        <f ca="1">IFERROR(__xludf.DUMMYFUNCTION("""COMPUTED_VALUE"""),"Beginner")</f>
        <v>Beginner</v>
      </c>
      <c r="E20" s="139" t="str">
        <f ca="1">IFERROR(__xludf.DUMMYFUNCTION("""COMPUTED_VALUE"""),"Simplifying Business Processes")</f>
        <v>Simplifying Business Processes</v>
      </c>
      <c r="F20" s="141"/>
      <c r="G20" s="134"/>
      <c r="H20" s="134"/>
      <c r="I20" s="134"/>
      <c r="J20" s="138">
        <f ca="1">IFERROR(__xludf.DUMMYFUNCTION("""COMPUTED_VALUE"""),2823568)</f>
        <v>2823568</v>
      </c>
      <c r="K20" s="138" t="str">
        <f ca="1">IFERROR(__xludf.DUMMYFUNCTION("""COMPUTED_VALUE"""),"Beginner")</f>
        <v>Beginner</v>
      </c>
      <c r="L20" s="139" t="str">
        <f ca="1">IFERROR(__xludf.DUMMYFUNCTION("""COMPUTED_VALUE"""),"How to Turn Your Entrepreneur Journey into a Successful Keynote Talk")</f>
        <v>How to Turn Your Entrepreneur Journey into a Successful Keynote Talk</v>
      </c>
      <c r="M20" s="141"/>
      <c r="N20" s="134"/>
      <c r="O20" s="134"/>
      <c r="P20" s="134"/>
      <c r="Q20" s="138">
        <f ca="1">IFERROR(__xludf.DUMMYFUNCTION("""COMPUTED_VALUE"""),2813141)</f>
        <v>2813141</v>
      </c>
      <c r="R20" s="138" t="str">
        <f ca="1">IFERROR(__xludf.DUMMYFUNCTION("""COMPUTED_VALUE"""),"Beginner")</f>
        <v>Beginner</v>
      </c>
      <c r="S20" s="139" t="str">
        <f ca="1">IFERROR(__xludf.DUMMYFUNCTION("""COMPUTED_VALUE"""),"Software Project Management Foundations")</f>
        <v>Software Project Management Foundations</v>
      </c>
      <c r="T20" s="140" t="str">
        <f ca="1">IFERROR(__xludf.DUMMYFUNCTION("""COMPUTED_VALUE"""),"Become a Six Sigma Yellow Belt")</f>
        <v>Become a Six Sigma Yellow Belt</v>
      </c>
      <c r="U20" s="134"/>
      <c r="V20" s="134"/>
    </row>
    <row r="21" spans="1:22" ht="33.75" customHeight="1" x14ac:dyDescent="0.15">
      <c r="A21" s="134"/>
      <c r="B21" s="134"/>
      <c r="C21" s="138">
        <f ca="1">IFERROR(__xludf.DUMMYFUNCTION("""COMPUTED_VALUE"""),181730)</f>
        <v>181730</v>
      </c>
      <c r="D21" s="138" t="str">
        <f ca="1">IFERROR(__xludf.DUMMYFUNCTION("""COMPUTED_VALUE"""),"Beginner")</f>
        <v>Beginner</v>
      </c>
      <c r="E21" s="139" t="str">
        <f ca="1">IFERROR(__xludf.DUMMYFUNCTION("""COMPUTED_VALUE"""),"Supply Chain Foundations")</f>
        <v>Supply Chain Foundations</v>
      </c>
      <c r="F21" s="141"/>
      <c r="G21" s="134"/>
      <c r="H21" s="134"/>
      <c r="I21" s="134"/>
      <c r="J21" s="138">
        <f ca="1">IFERROR(__xludf.DUMMYFUNCTION("""COMPUTED_VALUE"""),2875044)</f>
        <v>2875044</v>
      </c>
      <c r="K21" s="138" t="str">
        <f ca="1">IFERROR(__xludf.DUMMYFUNCTION("""COMPUTED_VALUE"""),"Beginner")</f>
        <v>Beginner</v>
      </c>
      <c r="L21" s="139" t="str">
        <f ca="1">IFERROR(__xludf.DUMMYFUNCTION("""COMPUTED_VALUE"""),"Speaking Confidently and Effectively")</f>
        <v>Speaking Confidently and Effectively</v>
      </c>
      <c r="M21" s="141"/>
      <c r="N21" s="134"/>
      <c r="O21" s="134"/>
      <c r="P21" s="134"/>
      <c r="Q21" s="138">
        <f ca="1">IFERROR(__xludf.DUMMYFUNCTION("""COMPUTED_VALUE"""),2814140)</f>
        <v>2814140</v>
      </c>
      <c r="R21" s="138" t="str">
        <f ca="1">IFERROR(__xludf.DUMMYFUNCTION("""COMPUTED_VALUE"""),"Beginner")</f>
        <v>Beginner</v>
      </c>
      <c r="S21" s="139" t="str">
        <f ca="1">IFERROR(__xludf.DUMMYFUNCTION("""COMPUTED_VALUE"""),"Project Management Simplified")</f>
        <v>Project Management Simplified</v>
      </c>
      <c r="T21" s="141"/>
      <c r="U21" s="134"/>
      <c r="V21" s="134"/>
    </row>
    <row r="22" spans="1:22" ht="33.75" customHeight="1" x14ac:dyDescent="0.15">
      <c r="A22" s="134"/>
      <c r="B22" s="134"/>
      <c r="C22" s="138">
        <f ca="1">IFERROR(__xludf.DUMMYFUNCTION("""COMPUTED_VALUE"""),2804664)</f>
        <v>2804664</v>
      </c>
      <c r="D22" s="138" t="str">
        <f ca="1">IFERROR(__xludf.DUMMYFUNCTION("""COMPUTED_VALUE"""),"Beginner")</f>
        <v>Beginner</v>
      </c>
      <c r="E22" s="139" t="str">
        <f ca="1">IFERROR(__xludf.DUMMYFUNCTION("""COMPUTED_VALUE"""),"Introducing AI to Your Organization")</f>
        <v>Introducing AI to Your Organization</v>
      </c>
      <c r="F22" s="141"/>
      <c r="G22" s="134"/>
      <c r="H22" s="134"/>
      <c r="I22" s="134"/>
      <c r="J22" s="138">
        <f ca="1">IFERROR(__xludf.DUMMYFUNCTION("""COMPUTED_VALUE"""),2869052)</f>
        <v>2869052</v>
      </c>
      <c r="K22" s="138" t="str">
        <f ca="1">IFERROR(__xludf.DUMMYFUNCTION("""COMPUTED_VALUE"""),"Beginner")</f>
        <v>Beginner</v>
      </c>
      <c r="L22" s="139" t="str">
        <f ca="1">IFERROR(__xludf.DUMMYFUNCTION("""COMPUTED_VALUE"""),"Boosting Your Confidence, Public Speaking and Performance")</f>
        <v>Boosting Your Confidence, Public Speaking and Performance</v>
      </c>
      <c r="M22" s="141"/>
      <c r="N22" s="134"/>
      <c r="O22" s="134"/>
      <c r="P22" s="134"/>
      <c r="Q22" s="138">
        <f ca="1">IFERROR(__xludf.DUMMYFUNCTION("""COMPUTED_VALUE"""),2823295)</f>
        <v>2823295</v>
      </c>
      <c r="R22" s="138" t="str">
        <f ca="1">IFERROR(__xludf.DUMMYFUNCTION("""COMPUTED_VALUE"""),"Beginner")</f>
        <v>Beginner</v>
      </c>
      <c r="S22" s="139" t="str">
        <f ca="1">IFERROR(__xludf.DUMMYFUNCTION("""COMPUTED_VALUE"""),"Hoshin Planning")</f>
        <v>Hoshin Planning</v>
      </c>
      <c r="T22" s="141"/>
      <c r="U22" s="134"/>
      <c r="V22" s="134"/>
    </row>
    <row r="23" spans="1:22" ht="33.75" customHeight="1" x14ac:dyDescent="0.15">
      <c r="A23" s="134"/>
      <c r="B23" s="134"/>
      <c r="C23" s="138">
        <f ca="1">IFERROR(__xludf.DUMMYFUNCTION("""COMPUTED_VALUE"""),2813303)</f>
        <v>2813303</v>
      </c>
      <c r="D23" s="138" t="str">
        <f ca="1">IFERROR(__xludf.DUMMYFUNCTION("""COMPUTED_VALUE"""),"Beginner")</f>
        <v>Beginner</v>
      </c>
      <c r="E23" s="139" t="str">
        <f ca="1">IFERROR(__xludf.DUMMYFUNCTION("""COMPUTED_VALUE"""),"Understanding Business")</f>
        <v>Understanding Business</v>
      </c>
      <c r="F23" s="141"/>
      <c r="G23" s="134"/>
      <c r="H23" s="134"/>
      <c r="I23" s="134"/>
      <c r="J23" s="138">
        <f ca="1">IFERROR(__xludf.DUMMYFUNCTION("""COMPUTED_VALUE"""),2816032)</f>
        <v>2816032</v>
      </c>
      <c r="K23" s="138" t="str">
        <f ca="1">IFERROR(__xludf.DUMMYFUNCTION("""COMPUTED_VALUE"""),"Beginner + Intermediate")</f>
        <v>Beginner + Intermediate</v>
      </c>
      <c r="L23" s="139" t="str">
        <f ca="1">IFERROR(__xludf.DUMMYFUNCTION("""COMPUTED_VALUE"""),"Presenting Technical Information with Stories")</f>
        <v>Presenting Technical Information with Stories</v>
      </c>
      <c r="M23" s="141"/>
      <c r="N23" s="134"/>
      <c r="O23" s="134"/>
      <c r="P23" s="134"/>
      <c r="Q23" s="138">
        <f ca="1">IFERROR(__xludf.DUMMYFUNCTION("""COMPUTED_VALUE"""),2823298)</f>
        <v>2823298</v>
      </c>
      <c r="R23" s="138" t="str">
        <f ca="1">IFERROR(__xludf.DUMMYFUNCTION("""COMPUTED_VALUE"""),"Beginner")</f>
        <v>Beginner</v>
      </c>
      <c r="S23" s="139" t="str">
        <f ca="1">IFERROR(__xludf.DUMMYFUNCTION("""COMPUTED_VALUE"""),"Implementing Lean: A Case Study")</f>
        <v>Implementing Lean: A Case Study</v>
      </c>
      <c r="T23" s="141"/>
      <c r="U23" s="134"/>
      <c r="V23" s="134"/>
    </row>
    <row r="24" spans="1:22" ht="33.75" customHeight="1" x14ac:dyDescent="0.15">
      <c r="A24" s="134"/>
      <c r="B24" s="134"/>
      <c r="C24" s="138">
        <f ca="1">IFERROR(__xludf.DUMMYFUNCTION("""COMPUTED_VALUE"""),2822352)</f>
        <v>2822352</v>
      </c>
      <c r="D24" s="138" t="str">
        <f ca="1">IFERROR(__xludf.DUMMYFUNCTION("""COMPUTED_VALUE"""),"Beginner")</f>
        <v>Beginner</v>
      </c>
      <c r="E24" s="139" t="str">
        <f ca="1">IFERROR(__xludf.DUMMYFUNCTION("""COMPUTED_VALUE"""),"Lean Deep Dive: Job Instruction")</f>
        <v>Lean Deep Dive: Job Instruction</v>
      </c>
      <c r="F24" s="141"/>
      <c r="G24" s="134"/>
      <c r="H24" s="134"/>
      <c r="I24" s="134"/>
      <c r="J24" s="138">
        <f ca="1">IFERROR(__xludf.DUMMYFUNCTION("""COMPUTED_VALUE"""),2802036)</f>
        <v>2802036</v>
      </c>
      <c r="K24" s="138" t="str">
        <f ca="1">IFERROR(__xludf.DUMMYFUNCTION("""COMPUTED_VALUE"""),"Beginner + Intermediate")</f>
        <v>Beginner + Intermediate</v>
      </c>
      <c r="L24" s="139" t="str">
        <f ca="1">IFERROR(__xludf.DUMMYFUNCTION("""COMPUTED_VALUE"""),"Designing a Presentation")</f>
        <v>Designing a Presentation</v>
      </c>
      <c r="M24" s="141"/>
      <c r="N24" s="134"/>
      <c r="O24" s="134"/>
      <c r="P24" s="134"/>
      <c r="Q24" s="138">
        <f ca="1">IFERROR(__xludf.DUMMYFUNCTION("""COMPUTED_VALUE"""),2824205)</f>
        <v>2824205</v>
      </c>
      <c r="R24" s="138" t="str">
        <f ca="1">IFERROR(__xludf.DUMMYFUNCTION("""COMPUTED_VALUE"""),"Beginner")</f>
        <v>Beginner</v>
      </c>
      <c r="S24" s="139" t="str">
        <f ca="1">IFERROR(__xludf.DUMMYFUNCTION("""COMPUTED_VALUE"""),"From Resisting to Embracing Lean: A Case Study")</f>
        <v>From Resisting to Embracing Lean: A Case Study</v>
      </c>
      <c r="T24" s="141"/>
      <c r="U24" s="134"/>
      <c r="V24" s="134"/>
    </row>
    <row r="25" spans="1:22" ht="33.75" customHeight="1" x14ac:dyDescent="0.15">
      <c r="A25" s="134"/>
      <c r="B25" s="134"/>
      <c r="C25" s="138">
        <f ca="1">IFERROR(__xludf.DUMMYFUNCTION("""COMPUTED_VALUE"""),2823293)</f>
        <v>2823293</v>
      </c>
      <c r="D25" s="138" t="str">
        <f ca="1">IFERROR(__xludf.DUMMYFUNCTION("""COMPUTED_VALUE"""),"Beginner")</f>
        <v>Beginner</v>
      </c>
      <c r="E25" s="139" t="str">
        <f ca="1">IFERROR(__xludf.DUMMYFUNCTION("""COMPUTED_VALUE"""),"Workplace Visualization")</f>
        <v>Workplace Visualization</v>
      </c>
      <c r="F25" s="141"/>
      <c r="G25" s="134"/>
      <c r="H25" s="134"/>
      <c r="I25" s="134"/>
      <c r="J25" s="138">
        <f ca="1">IFERROR(__xludf.DUMMYFUNCTION("""COMPUTED_VALUE"""),693078)</f>
        <v>693078</v>
      </c>
      <c r="K25" s="138" t="str">
        <f ca="1">IFERROR(__xludf.DUMMYFUNCTION("""COMPUTED_VALUE"""),"Beginner + Intermediate")</f>
        <v>Beginner + Intermediate</v>
      </c>
      <c r="L25" s="139" t="str">
        <f ca="1">IFERROR(__xludf.DUMMYFUNCTION("""COMPUTED_VALUE"""),"Leading Productive Meetings")</f>
        <v>Leading Productive Meetings</v>
      </c>
      <c r="M25" s="141"/>
      <c r="N25" s="134"/>
      <c r="O25" s="134"/>
      <c r="P25" s="134"/>
      <c r="Q25" s="138">
        <f ca="1">IFERROR(__xludf.DUMMYFUNCTION("""COMPUTED_VALUE"""),2825034)</f>
        <v>2825034</v>
      </c>
      <c r="R25" s="138" t="str">
        <f ca="1">IFERROR(__xludf.DUMMYFUNCTION("""COMPUTED_VALUE"""),"Beginner")</f>
        <v>Beginner</v>
      </c>
      <c r="S25" s="139" t="str">
        <f ca="1">IFERROR(__xludf.DUMMYFUNCTION("""COMPUTED_VALUE"""),"Project Management Tips")</f>
        <v>Project Management Tips</v>
      </c>
      <c r="T25" s="141"/>
      <c r="U25" s="134"/>
      <c r="V25" s="134"/>
    </row>
    <row r="26" spans="1:22" ht="33.75" customHeight="1" x14ac:dyDescent="0.15">
      <c r="A26" s="134"/>
      <c r="B26" s="134"/>
      <c r="C26" s="138">
        <f ca="1">IFERROR(__xludf.DUMMYFUNCTION("""COMPUTED_VALUE"""),2823296)</f>
        <v>2823296</v>
      </c>
      <c r="D26" s="138" t="str">
        <f ca="1">IFERROR(__xludf.DUMMYFUNCTION("""COMPUTED_VALUE"""),"Beginner")</f>
        <v>Beginner</v>
      </c>
      <c r="E26" s="139" t="str">
        <f ca="1">IFERROR(__xludf.DUMMYFUNCTION("""COMPUTED_VALUE"""),"Implementing Continuous Improvement: A Case Study")</f>
        <v>Implementing Continuous Improvement: A Case Study</v>
      </c>
      <c r="F26" s="141"/>
      <c r="G26" s="134"/>
      <c r="H26" s="134"/>
      <c r="I26" s="134"/>
      <c r="J26" s="138">
        <f ca="1">IFERROR(__xludf.DUMMYFUNCTION("""COMPUTED_VALUE"""),375928)</f>
        <v>375928</v>
      </c>
      <c r="K26" s="138" t="str">
        <f ca="1">IFERROR(__xludf.DUMMYFUNCTION("""COMPUTED_VALUE"""),"Beginner + Intermediate")</f>
        <v>Beginner + Intermediate</v>
      </c>
      <c r="L26" s="139" t="str">
        <f ca="1">IFERROR(__xludf.DUMMYFUNCTION("""COMPUTED_VALUE"""),"PowerPoint 2016 Essential Training")</f>
        <v>PowerPoint 2016 Essential Training</v>
      </c>
      <c r="M26" s="141"/>
      <c r="N26" s="134"/>
      <c r="O26" s="134"/>
      <c r="P26" s="134"/>
      <c r="Q26" s="138">
        <f ca="1">IFERROR(__xludf.DUMMYFUNCTION("""COMPUTED_VALUE"""),2825379)</f>
        <v>2825379</v>
      </c>
      <c r="R26" s="138" t="str">
        <f ca="1">IFERROR(__xludf.DUMMYFUNCTION("""COMPUTED_VALUE"""),"Beginner")</f>
        <v>Beginner</v>
      </c>
      <c r="S26" s="139" t="str">
        <f ca="1">IFERROR(__xludf.DUMMYFUNCTION("""COMPUTED_VALUE"""),"5S Workplace Productivity")</f>
        <v>5S Workplace Productivity</v>
      </c>
      <c r="T26" s="141"/>
      <c r="U26" s="134"/>
      <c r="V26" s="134"/>
    </row>
    <row r="27" spans="1:22" ht="33.75" customHeight="1" x14ac:dyDescent="0.15">
      <c r="A27" s="134"/>
      <c r="B27" s="134"/>
      <c r="C27" s="138">
        <f ca="1">IFERROR(__xludf.DUMMYFUNCTION("""COMPUTED_VALUE"""),2823298)</f>
        <v>2823298</v>
      </c>
      <c r="D27" s="138" t="str">
        <f ca="1">IFERROR(__xludf.DUMMYFUNCTION("""COMPUTED_VALUE"""),"Beginner")</f>
        <v>Beginner</v>
      </c>
      <c r="E27" s="139" t="str">
        <f ca="1">IFERROR(__xludf.DUMMYFUNCTION("""COMPUTED_VALUE"""),"Implementing Lean: A Case Study")</f>
        <v>Implementing Lean: A Case Study</v>
      </c>
      <c r="F27" s="141"/>
      <c r="G27" s="134"/>
      <c r="H27" s="134"/>
      <c r="I27" s="134"/>
      <c r="J27" s="138">
        <f ca="1">IFERROR(__xludf.DUMMYFUNCTION("""COMPUTED_VALUE"""),740357)</f>
        <v>740357</v>
      </c>
      <c r="K27" s="138" t="str">
        <f ca="1">IFERROR(__xludf.DUMMYFUNCTION("""COMPUTED_VALUE"""),"Beginner + Intermediate")</f>
        <v>Beginner + Intermediate</v>
      </c>
      <c r="L27" s="139" t="str">
        <f ca="1">IFERROR(__xludf.DUMMYFUNCTION("""COMPUTED_VALUE"""),"PowerPoint 2019 Essential Training")</f>
        <v>PowerPoint 2019 Essential Training</v>
      </c>
      <c r="M27" s="141"/>
      <c r="N27" s="134"/>
      <c r="O27" s="134"/>
      <c r="P27" s="134"/>
      <c r="Q27" s="138">
        <f ca="1">IFERROR(__xludf.DUMMYFUNCTION("""COMPUTED_VALUE"""),2813184)</f>
        <v>2813184</v>
      </c>
      <c r="R27" s="138" t="str">
        <f ca="1">IFERROR(__xludf.DUMMYFUNCTION("""COMPUTED_VALUE"""),"Beginner")</f>
        <v>Beginner</v>
      </c>
      <c r="S27" s="139" t="str">
        <f ca="1">IFERROR(__xludf.DUMMYFUNCTION("""COMPUTED_VALUE"""),"Time Management Tips: Scheduling")</f>
        <v>Time Management Tips: Scheduling</v>
      </c>
      <c r="T27" s="141"/>
      <c r="U27" s="134"/>
      <c r="V27" s="134"/>
    </row>
    <row r="28" spans="1:22" ht="33.75" customHeight="1" x14ac:dyDescent="0.15">
      <c r="A28" s="134"/>
      <c r="B28" s="134"/>
      <c r="C28" s="138">
        <f ca="1">IFERROR(__xludf.DUMMYFUNCTION("""COMPUTED_VALUE"""),2824205)</f>
        <v>2824205</v>
      </c>
      <c r="D28" s="138" t="str">
        <f ca="1">IFERROR(__xludf.DUMMYFUNCTION("""COMPUTED_VALUE"""),"Beginner")</f>
        <v>Beginner</v>
      </c>
      <c r="E28" s="139" t="str">
        <f ca="1">IFERROR(__xludf.DUMMYFUNCTION("""COMPUTED_VALUE"""),"From Resisting to Embracing Lean: A Case Study")</f>
        <v>From Resisting to Embracing Lean: A Case Study</v>
      </c>
      <c r="F28" s="141"/>
      <c r="G28" s="134"/>
      <c r="H28" s="134"/>
      <c r="I28" s="134"/>
      <c r="J28" s="138">
        <f ca="1">IFERROR(__xludf.DUMMYFUNCTION("""COMPUTED_VALUE"""),740358)</f>
        <v>740358</v>
      </c>
      <c r="K28" s="138" t="str">
        <f ca="1">IFERROR(__xludf.DUMMYFUNCTION("""COMPUTED_VALUE"""),"Beginner + Intermediate")</f>
        <v>Beginner + Intermediate</v>
      </c>
      <c r="L28" s="139" t="str">
        <f ca="1">IFERROR(__xludf.DUMMYFUNCTION("""COMPUTED_VALUE"""),"PowerPoint Essential Training (Office 365/Microsoft 365) (2018)")</f>
        <v>PowerPoint Essential Training (Office 365/Microsoft 365) (2018)</v>
      </c>
      <c r="M28" s="141"/>
      <c r="N28" s="134"/>
      <c r="O28" s="134"/>
      <c r="P28" s="134"/>
      <c r="Q28" s="138">
        <f ca="1">IFERROR(__xludf.DUMMYFUNCTION("""COMPUTED_VALUE"""),2813277)</f>
        <v>2813277</v>
      </c>
      <c r="R28" s="138" t="str">
        <f ca="1">IFERROR(__xludf.DUMMYFUNCTION("""COMPUTED_VALUE"""),"Beginner")</f>
        <v>Beginner</v>
      </c>
      <c r="S28" s="139" t="str">
        <f ca="1">IFERROR(__xludf.DUMMYFUNCTION("""COMPUTED_VALUE"""),"Time Management Tips: Teamwork")</f>
        <v>Time Management Tips: Teamwork</v>
      </c>
      <c r="T28" s="141"/>
      <c r="U28" s="134"/>
      <c r="V28" s="134"/>
    </row>
    <row r="29" spans="1:22" ht="33.75" customHeight="1" x14ac:dyDescent="0.15">
      <c r="A29" s="134"/>
      <c r="B29" s="134"/>
      <c r="C29" s="138">
        <f ca="1">IFERROR(__xludf.DUMMYFUNCTION("""COMPUTED_VALUE"""),2825379)</f>
        <v>2825379</v>
      </c>
      <c r="D29" s="138" t="str">
        <f ca="1">IFERROR(__xludf.DUMMYFUNCTION("""COMPUTED_VALUE"""),"Beginner")</f>
        <v>Beginner</v>
      </c>
      <c r="E29" s="139" t="str">
        <f ca="1">IFERROR(__xludf.DUMMYFUNCTION("""COMPUTED_VALUE"""),"5S Workplace Productivity")</f>
        <v>5S Workplace Productivity</v>
      </c>
      <c r="F29" s="141"/>
      <c r="G29" s="134"/>
      <c r="H29" s="134"/>
      <c r="I29" s="134"/>
      <c r="J29" s="138">
        <f ca="1">IFERROR(__xludf.DUMMYFUNCTION("""COMPUTED_VALUE"""),2822089)</f>
        <v>2822089</v>
      </c>
      <c r="K29" s="138" t="str">
        <f ca="1">IFERROR(__xludf.DUMMYFUNCTION("""COMPUTED_VALUE"""),"General")</f>
        <v>General</v>
      </c>
      <c r="L29" s="139" t="str">
        <f ca="1">IFERROR(__xludf.DUMMYFUNCTION("""COMPUTED_VALUE"""),"Managing Your Anxiety While Presenting")</f>
        <v>Managing Your Anxiety While Presenting</v>
      </c>
      <c r="M29" s="141"/>
      <c r="N29" s="134"/>
      <c r="O29" s="134"/>
      <c r="P29" s="134"/>
      <c r="Q29" s="138">
        <f ca="1">IFERROR(__xludf.DUMMYFUNCTION("""COMPUTED_VALUE"""),2831005)</f>
        <v>2831005</v>
      </c>
      <c r="R29" s="138" t="str">
        <f ca="1">IFERROR(__xludf.DUMMYFUNCTION("""COMPUTED_VALUE"""),"Beginner")</f>
        <v>Beginner</v>
      </c>
      <c r="S29" s="139" t="str">
        <f ca="1">IFERROR(__xludf.DUMMYFUNCTION("""COMPUTED_VALUE"""),"Introducing the PMBOK® Guide—Seventh Edition")</f>
        <v>Introducing the PMBOK® Guide—Seventh Edition</v>
      </c>
      <c r="T29" s="141"/>
      <c r="U29" s="134"/>
      <c r="V29" s="134"/>
    </row>
    <row r="30" spans="1:22" ht="33.75" customHeight="1" x14ac:dyDescent="0.15">
      <c r="A30" s="134"/>
      <c r="B30" s="134"/>
      <c r="C30" s="138">
        <f ca="1">IFERROR(__xludf.DUMMYFUNCTION("""COMPUTED_VALUE"""),2815157)</f>
        <v>2815157</v>
      </c>
      <c r="D30" s="138" t="str">
        <f ca="1">IFERROR(__xludf.DUMMYFUNCTION("""COMPUTED_VALUE"""),"Beginner")</f>
        <v>Beginner</v>
      </c>
      <c r="E30" s="139" t="str">
        <f ca="1">IFERROR(__xludf.DUMMYFUNCTION("""COMPUTED_VALUE"""),"Agile Software Development: Creating an Agile Culture")</f>
        <v>Agile Software Development: Creating an Agile Culture</v>
      </c>
      <c r="F30" s="141"/>
      <c r="G30" s="134"/>
      <c r="H30" s="134"/>
      <c r="I30" s="134"/>
      <c r="J30" s="138">
        <f ca="1">IFERROR(__xludf.DUMMYFUNCTION("""COMPUTED_VALUE"""),2818087)</f>
        <v>2818087</v>
      </c>
      <c r="K30" s="138" t="str">
        <f ca="1">IFERROR(__xludf.DUMMYFUNCTION("""COMPUTED_VALUE"""),"General")</f>
        <v>General</v>
      </c>
      <c r="L30" s="139" t="str">
        <f ca="1">IFERROR(__xludf.DUMMYFUNCTION("""COMPUTED_VALUE"""),"Connecting with Your Audience Using Video")</f>
        <v>Connecting with Your Audience Using Video</v>
      </c>
      <c r="M30" s="141"/>
      <c r="N30" s="134"/>
      <c r="O30" s="134"/>
      <c r="P30" s="134"/>
      <c r="Q30" s="138">
        <f ca="1">IFERROR(__xludf.DUMMYFUNCTION("""COMPUTED_VALUE"""),2823512)</f>
        <v>2823512</v>
      </c>
      <c r="R30" s="138" t="str">
        <f ca="1">IFERROR(__xludf.DUMMYFUNCTION("""COMPUTED_VALUE"""),"Beginner")</f>
        <v>Beginner</v>
      </c>
      <c r="S30" s="139" t="str">
        <f ca="1">IFERROR(__xludf.DUMMYFUNCTION("""COMPUTED_VALUE"""),"Productivity: Prioritizing at Work")</f>
        <v>Productivity: Prioritizing at Work</v>
      </c>
      <c r="T30" s="141"/>
      <c r="U30" s="134"/>
      <c r="V30" s="134"/>
    </row>
    <row r="31" spans="1:22" ht="33.75" customHeight="1" x14ac:dyDescent="0.15">
      <c r="A31" s="134"/>
      <c r="B31" s="134"/>
      <c r="C31" s="138">
        <f ca="1">IFERROR(__xludf.DUMMYFUNCTION("""COMPUTED_VALUE"""),2852006)</f>
        <v>2852006</v>
      </c>
      <c r="D31" s="138" t="str">
        <f ca="1">IFERROR(__xludf.DUMMYFUNCTION("""COMPUTED_VALUE"""),"Beginner")</f>
        <v>Beginner</v>
      </c>
      <c r="E31" s="139" t="str">
        <f ca="1">IFERROR(__xludf.DUMMYFUNCTION("""COMPUTED_VALUE"""),"Evaluating and Evolving Your Business Model")</f>
        <v>Evaluating and Evolving Your Business Model</v>
      </c>
      <c r="F31" s="141"/>
      <c r="G31" s="134"/>
      <c r="H31" s="134"/>
      <c r="I31" s="134"/>
      <c r="J31" s="138">
        <f ca="1">IFERROR(__xludf.DUMMYFUNCTION("""COMPUTED_VALUE"""),2836016)</f>
        <v>2836016</v>
      </c>
      <c r="K31" s="138" t="str">
        <f ca="1">IFERROR(__xludf.DUMMYFUNCTION("""COMPUTED_VALUE"""),"General")</f>
        <v>General</v>
      </c>
      <c r="L31" s="139" t="str">
        <f ca="1">IFERROR(__xludf.DUMMYFUNCTION("""COMPUTED_VALUE"""),"How to Create and Run a Brilliant Remote Workshop")</f>
        <v>How to Create and Run a Brilliant Remote Workshop</v>
      </c>
      <c r="M31" s="141"/>
      <c r="N31" s="134"/>
      <c r="O31" s="134"/>
      <c r="P31" s="134"/>
      <c r="Q31" s="138">
        <f ca="1">IFERROR(__xludf.DUMMYFUNCTION("""COMPUTED_VALUE"""),2846053)</f>
        <v>2846053</v>
      </c>
      <c r="R31" s="138" t="str">
        <f ca="1">IFERROR(__xludf.DUMMYFUNCTION("""COMPUTED_VALUE"""),"Beginner")</f>
        <v>Beginner</v>
      </c>
      <c r="S31" s="139" t="str">
        <f ca="1">IFERROR(__xludf.DUMMYFUNCTION("""COMPUTED_VALUE"""),"Leading Remote Projects and Virtual Teams")</f>
        <v>Leading Remote Projects and Virtual Teams</v>
      </c>
      <c r="T31" s="141"/>
      <c r="U31" s="134"/>
      <c r="V31" s="134"/>
    </row>
    <row r="32" spans="1:22" ht="33.75" customHeight="1" x14ac:dyDescent="0.15">
      <c r="A32" s="134"/>
      <c r="B32" s="134"/>
      <c r="C32" s="138">
        <f ca="1">IFERROR(__xludf.DUMMYFUNCTION("""COMPUTED_VALUE"""),2813257)</f>
        <v>2813257</v>
      </c>
      <c r="D32" s="138" t="str">
        <f ca="1">IFERROR(__xludf.DUMMYFUNCTION("""COMPUTED_VALUE"""),"Beginner + Intermediate")</f>
        <v>Beginner + Intermediate</v>
      </c>
      <c r="E32" s="139" t="str">
        <f ca="1">IFERROR(__xludf.DUMMYFUNCTION("""COMPUTED_VALUE"""),"Revenue, Staffing, and Expense Models Explained")</f>
        <v>Revenue, Staffing, and Expense Models Explained</v>
      </c>
      <c r="F32" s="141"/>
      <c r="G32" s="134"/>
      <c r="H32" s="134"/>
      <c r="I32" s="134"/>
      <c r="J32" s="138">
        <f ca="1">IFERROR(__xludf.DUMMYFUNCTION("""COMPUTED_VALUE"""),359601)</f>
        <v>359601</v>
      </c>
      <c r="K32" s="138" t="str">
        <f ca="1">IFERROR(__xludf.DUMMYFUNCTION("""COMPUTED_VALUE"""),"General")</f>
        <v>General</v>
      </c>
      <c r="L32" s="139" t="str">
        <f ca="1">IFERROR(__xludf.DUMMYFUNCTION("""COMPUTED_VALUE"""),"Communicating with Confidence")</f>
        <v>Communicating with Confidence</v>
      </c>
      <c r="M32" s="141"/>
      <c r="N32" s="134"/>
      <c r="O32" s="134"/>
      <c r="P32" s="134"/>
      <c r="Q32" s="138">
        <f ca="1">IFERROR(__xludf.DUMMYFUNCTION("""COMPUTED_VALUE"""),2834000)</f>
        <v>2834000</v>
      </c>
      <c r="R32" s="138" t="str">
        <f ca="1">IFERROR(__xludf.DUMMYFUNCTION("""COMPUTED_VALUE"""),"Beginner")</f>
        <v>Beginner</v>
      </c>
      <c r="S32" s="139" t="str">
        <f ca="1">IFERROR(__xludf.DUMMYFUNCTION("""COMPUTED_VALUE"""),"Project Leadership")</f>
        <v>Project Leadership</v>
      </c>
      <c r="T32" s="141"/>
      <c r="U32" s="134"/>
      <c r="V32" s="134"/>
    </row>
    <row r="33" spans="1:22" ht="33.75" customHeight="1" x14ac:dyDescent="0.15">
      <c r="A33" s="134"/>
      <c r="B33" s="134"/>
      <c r="C33" s="138">
        <f ca="1">IFERROR(__xludf.DUMMYFUNCTION("""COMPUTED_VALUE"""),2813258)</f>
        <v>2813258</v>
      </c>
      <c r="D33" s="138" t="str">
        <f ca="1">IFERROR(__xludf.DUMMYFUNCTION("""COMPUTED_VALUE"""),"Beginner + Intermediate")</f>
        <v>Beginner + Intermediate</v>
      </c>
      <c r="E33" s="139" t="str">
        <f ca="1">IFERROR(__xludf.DUMMYFUNCTION("""COMPUTED_VALUE"""),"Pricing Strategy Explained")</f>
        <v>Pricing Strategy Explained</v>
      </c>
      <c r="F33" s="141"/>
      <c r="G33" s="134"/>
      <c r="H33" s="134"/>
      <c r="I33" s="134"/>
      <c r="J33" s="138">
        <f ca="1">IFERROR(__xludf.DUMMYFUNCTION("""COMPUTED_VALUE"""),2857061)</f>
        <v>2857061</v>
      </c>
      <c r="K33" s="138" t="str">
        <f ca="1">IFERROR(__xludf.DUMMYFUNCTION("""COMPUTED_VALUE"""),"General")</f>
        <v>General</v>
      </c>
      <c r="L33" s="139" t="str">
        <f ca="1">IFERROR(__xludf.DUMMYFUNCTION("""COMPUTED_VALUE"""),"17 PR Mistakes to Avoid")</f>
        <v>17 PR Mistakes to Avoid</v>
      </c>
      <c r="M33" s="141"/>
      <c r="N33" s="134"/>
      <c r="O33" s="134"/>
      <c r="P33" s="134"/>
      <c r="Q33" s="138">
        <f ca="1">IFERROR(__xludf.DUMMYFUNCTION("""COMPUTED_VALUE"""),2313157)</f>
        <v>2313157</v>
      </c>
      <c r="R33" s="138" t="str">
        <f ca="1">IFERROR(__xludf.DUMMYFUNCTION("""COMPUTED_VALUE"""),"Beginner")</f>
        <v>Beginner</v>
      </c>
      <c r="S33" s="143" t="str">
        <f ca="1">IFERROR(__xludf.DUMMYFUNCTION("""COMPUTED_VALUE"""),"Project Management: Choosing the Right Online Tool")</f>
        <v>Project Management: Choosing the Right Online Tool</v>
      </c>
      <c r="T33" s="141"/>
      <c r="U33" s="134"/>
      <c r="V33" s="134"/>
    </row>
    <row r="34" spans="1:22" ht="33.75" customHeight="1" x14ac:dyDescent="0.15">
      <c r="A34" s="134"/>
      <c r="B34" s="134"/>
      <c r="C34" s="138">
        <f ca="1">IFERROR(__xludf.DUMMYFUNCTION("""COMPUTED_VALUE"""),2823199)</f>
        <v>2823199</v>
      </c>
      <c r="D34" s="138" t="str">
        <f ca="1">IFERROR(__xludf.DUMMYFUNCTION("""COMPUTED_VALUE"""),"Beginner + Intermediate")</f>
        <v>Beginner + Intermediate</v>
      </c>
      <c r="E34" s="139" t="str">
        <f ca="1">IFERROR(__xludf.DUMMYFUNCTION("""COMPUTED_VALUE"""),"Data Ethics: Managing Your Private Customer Data")</f>
        <v>Data Ethics: Managing Your Private Customer Data</v>
      </c>
      <c r="F34" s="141"/>
      <c r="G34" s="134"/>
      <c r="H34" s="134"/>
      <c r="I34" s="134"/>
      <c r="J34" s="138">
        <f ca="1">IFERROR(__xludf.DUMMYFUNCTION("""COMPUTED_VALUE"""),2832065)</f>
        <v>2832065</v>
      </c>
      <c r="K34" s="138" t="str">
        <f ca="1">IFERROR(__xludf.DUMMYFUNCTION("""COMPUTED_VALUE"""),"General")</f>
        <v>General</v>
      </c>
      <c r="L34" s="139" t="str">
        <f ca="1">IFERROR(__xludf.DUMMYFUNCTION("""COMPUTED_VALUE"""),"Finding Your Idea Hook")</f>
        <v>Finding Your Idea Hook</v>
      </c>
      <c r="M34" s="141"/>
      <c r="N34" s="134"/>
      <c r="O34" s="134"/>
      <c r="P34" s="134"/>
      <c r="Q34" s="138">
        <f ca="1">IFERROR(__xludf.DUMMYFUNCTION("""COMPUTED_VALUE"""),648914)</f>
        <v>648914</v>
      </c>
      <c r="R34" s="138" t="str">
        <f ca="1">IFERROR(__xludf.DUMMYFUNCTION("""COMPUTED_VALUE"""),"Beginner + Intermediate")</f>
        <v>Beginner + Intermediate</v>
      </c>
      <c r="S34" s="139" t="str">
        <f ca="1">IFERROR(__xludf.DUMMYFUNCTION("""COMPUTED_VALUE"""),"Product Management Tips")</f>
        <v>Product Management Tips</v>
      </c>
      <c r="T34" s="141"/>
      <c r="U34" s="134"/>
      <c r="V34" s="134"/>
    </row>
    <row r="35" spans="1:22" ht="33.75" customHeight="1" x14ac:dyDescent="0.15">
      <c r="A35" s="134"/>
      <c r="B35" s="134"/>
      <c r="C35" s="138">
        <f ca="1">IFERROR(__xludf.DUMMYFUNCTION("""COMPUTED_VALUE"""),5005054)</f>
        <v>5005054</v>
      </c>
      <c r="D35" s="138" t="str">
        <f ca="1">IFERROR(__xludf.DUMMYFUNCTION("""COMPUTED_VALUE"""),"Beginner + Intermediate")</f>
        <v>Beginner + Intermediate</v>
      </c>
      <c r="E35" s="139" t="str">
        <f ca="1">IFERROR(__xludf.DUMMYFUNCTION("""COMPUTED_VALUE"""),"Quality Management Foundations")</f>
        <v>Quality Management Foundations</v>
      </c>
      <c r="F35" s="141"/>
      <c r="G35" s="134"/>
      <c r="H35" s="134"/>
      <c r="I35" s="134"/>
      <c r="J35" s="138">
        <f ca="1">IFERROR(__xludf.DUMMYFUNCTION("""COMPUTED_VALUE"""),2825741)</f>
        <v>2825741</v>
      </c>
      <c r="K35" s="138" t="str">
        <f ca="1">IFERROR(__xludf.DUMMYFUNCTION("""COMPUTED_VALUE"""),"General")</f>
        <v>General</v>
      </c>
      <c r="L35" s="139" t="str">
        <f ca="1">IFERROR(__xludf.DUMMYFUNCTION("""COMPUTED_VALUE"""),"Presenting to Senior Executives")</f>
        <v>Presenting to Senior Executives</v>
      </c>
      <c r="M35" s="141"/>
      <c r="N35" s="134"/>
      <c r="O35" s="134"/>
      <c r="P35" s="134"/>
      <c r="Q35" s="138">
        <f ca="1">IFERROR(__xludf.DUMMYFUNCTION("""COMPUTED_VALUE"""),704118)</f>
        <v>704118</v>
      </c>
      <c r="R35" s="138" t="str">
        <f ca="1">IFERROR(__xludf.DUMMYFUNCTION("""COMPUTED_VALUE"""),"Beginner + Intermediate")</f>
        <v>Beginner + Intermediate</v>
      </c>
      <c r="S35" s="139" t="str">
        <f ca="1">IFERROR(__xludf.DUMMYFUNCTION("""COMPUTED_VALUE"""),"Delivering Results with a Business-focused PMO")</f>
        <v>Delivering Results with a Business-focused PMO</v>
      </c>
      <c r="T35" s="141"/>
      <c r="U35" s="134"/>
      <c r="V35" s="134"/>
    </row>
    <row r="36" spans="1:22" ht="33.75" customHeight="1" x14ac:dyDescent="0.15">
      <c r="A36" s="134"/>
      <c r="B36" s="134"/>
      <c r="C36" s="138">
        <f ca="1">IFERROR(__xludf.DUMMYFUNCTION("""COMPUTED_VALUE"""),672235)</f>
        <v>672235</v>
      </c>
      <c r="D36" s="138" t="str">
        <f ca="1">IFERROR(__xludf.DUMMYFUNCTION("""COMPUTED_VALUE"""),"Beginner + Intermediate")</f>
        <v>Beginner + Intermediate</v>
      </c>
      <c r="E36" s="139" t="str">
        <f ca="1">IFERROR(__xludf.DUMMYFUNCTION("""COMPUTED_VALUE"""),"Supply Chain and Operations Management Tips")</f>
        <v>Supply Chain and Operations Management Tips</v>
      </c>
      <c r="F36" s="141"/>
      <c r="G36" s="134"/>
      <c r="H36" s="134"/>
      <c r="I36" s="134"/>
      <c r="J36" s="138">
        <f ca="1">IFERROR(__xludf.DUMMYFUNCTION("""COMPUTED_VALUE"""),2353949)</f>
        <v>2353949</v>
      </c>
      <c r="K36" s="138" t="str">
        <f ca="1">IFERROR(__xludf.DUMMYFUNCTION("""COMPUTED_VALUE"""),"General")</f>
        <v>General</v>
      </c>
      <c r="L36" s="139" t="str">
        <f ca="1">IFERROR(__xludf.DUMMYFUNCTION("""COMPUTED_VALUE"""),"How to Own a Room")</f>
        <v>How to Own a Room</v>
      </c>
      <c r="M36" s="141"/>
      <c r="N36" s="134"/>
      <c r="O36" s="134"/>
      <c r="P36" s="134"/>
      <c r="Q36" s="138">
        <f ca="1">IFERROR(__xludf.DUMMYFUNCTION("""COMPUTED_VALUE"""),175639)</f>
        <v>175639</v>
      </c>
      <c r="R36" s="138" t="str">
        <f ca="1">IFERROR(__xludf.DUMMYFUNCTION("""COMPUTED_VALUE"""),"Beginner + Intermediate")</f>
        <v>Beginner + Intermediate</v>
      </c>
      <c r="S36" s="139" t="str">
        <f ca="1">IFERROR(__xludf.DUMMYFUNCTION("""COMPUTED_VALUE"""),"Project Management: Solving Common Project Problems")</f>
        <v>Project Management: Solving Common Project Problems</v>
      </c>
      <c r="T36" s="141"/>
      <c r="U36" s="134"/>
      <c r="V36" s="134"/>
    </row>
    <row r="37" spans="1:22" ht="33.75" customHeight="1" x14ac:dyDescent="0.15">
      <c r="A37" s="134"/>
      <c r="B37" s="134"/>
      <c r="C37" s="138">
        <f ca="1">IFERROR(__xludf.DUMMYFUNCTION("""COMPUTED_VALUE"""),2833091)</f>
        <v>2833091</v>
      </c>
      <c r="D37" s="138" t="str">
        <f ca="1">IFERROR(__xludf.DUMMYFUNCTION("""COMPUTED_VALUE"""),"Beginner + Intermediate")</f>
        <v>Beginner + Intermediate</v>
      </c>
      <c r="E37" s="139" t="str">
        <f ca="1">IFERROR(__xludf.DUMMYFUNCTION("""COMPUTED_VALUE"""),"How Blockchains Will Change Business")</f>
        <v>How Blockchains Will Change Business</v>
      </c>
      <c r="F37" s="141"/>
      <c r="G37" s="134"/>
      <c r="H37" s="134"/>
      <c r="I37" s="134"/>
      <c r="J37" s="138">
        <f ca="1">IFERROR(__xludf.DUMMYFUNCTION("""COMPUTED_VALUE"""),786358)</f>
        <v>786358</v>
      </c>
      <c r="K37" s="138" t="str">
        <f ca="1">IFERROR(__xludf.DUMMYFUNCTION("""COMPUTED_VALUE"""),"General")</f>
        <v>General</v>
      </c>
      <c r="L37" s="139" t="str">
        <f ca="1">IFERROR(__xludf.DUMMYFUNCTION("""COMPUTED_VALUE"""),"Master Confident Presentations")</f>
        <v>Master Confident Presentations</v>
      </c>
      <c r="M37" s="141"/>
      <c r="N37" s="134"/>
      <c r="O37" s="134"/>
      <c r="P37" s="134"/>
      <c r="Q37" s="138">
        <f ca="1">IFERROR(__xludf.DUMMYFUNCTION("""COMPUTED_VALUE"""),2806198)</f>
        <v>2806198</v>
      </c>
      <c r="R37" s="138" t="str">
        <f ca="1">IFERROR(__xludf.DUMMYFUNCTION("""COMPUTED_VALUE"""),"Beginner + Intermediate")</f>
        <v>Beginner + Intermediate</v>
      </c>
      <c r="S37" s="139" t="str">
        <f ca="1">IFERROR(__xludf.DUMMYFUNCTION("""COMPUTED_VALUE"""),"Managing Project Stakeholders")</f>
        <v>Managing Project Stakeholders</v>
      </c>
      <c r="T37" s="141"/>
      <c r="U37" s="134"/>
      <c r="V37" s="134"/>
    </row>
    <row r="38" spans="1:22" ht="33.75" customHeight="1" x14ac:dyDescent="0.15">
      <c r="A38" s="134"/>
      <c r="B38" s="134"/>
      <c r="C38" s="138">
        <f ca="1">IFERROR(__xludf.DUMMYFUNCTION("""COMPUTED_VALUE"""),2840016)</f>
        <v>2840016</v>
      </c>
      <c r="D38" s="138" t="str">
        <f ca="1">IFERROR(__xludf.DUMMYFUNCTION("""COMPUTED_VALUE"""),"Beginner + Intermediate")</f>
        <v>Beginner + Intermediate</v>
      </c>
      <c r="E38" s="139" t="str">
        <f ca="1">IFERROR(__xludf.DUMMYFUNCTION("""COMPUTED_VALUE"""),"Design Thinking: Implementing the Process")</f>
        <v>Design Thinking: Implementing the Process</v>
      </c>
      <c r="F38" s="141"/>
      <c r="G38" s="134"/>
      <c r="H38" s="134"/>
      <c r="I38" s="134"/>
      <c r="J38" s="138">
        <f ca="1">IFERROR(__xludf.DUMMYFUNCTION("""COMPUTED_VALUE"""),580630)</f>
        <v>580630</v>
      </c>
      <c r="K38" s="138" t="str">
        <f ca="1">IFERROR(__xludf.DUMMYFUNCTION("""COMPUTED_VALUE"""),"General")</f>
        <v>General</v>
      </c>
      <c r="L38" s="139" t="str">
        <f ca="1">IFERROR(__xludf.DUMMYFUNCTION("""COMPUTED_VALUE"""),"PowerPoint: Designing Better Slides")</f>
        <v>PowerPoint: Designing Better Slides</v>
      </c>
      <c r="M38" s="141"/>
      <c r="N38" s="134"/>
      <c r="O38" s="134"/>
      <c r="P38" s="134"/>
      <c r="Q38" s="138">
        <f ca="1">IFERROR(__xludf.DUMMYFUNCTION("""COMPUTED_VALUE"""),2813142)</f>
        <v>2813142</v>
      </c>
      <c r="R38" s="138" t="str">
        <f ca="1">IFERROR(__xludf.DUMMYFUNCTION("""COMPUTED_VALUE"""),"Beginner + Intermediate")</f>
        <v>Beginner + Intermediate</v>
      </c>
      <c r="S38" s="139" t="str">
        <f ca="1">IFERROR(__xludf.DUMMYFUNCTION("""COMPUTED_VALUE"""),"Transitioning from Waterfall to Agile Project Management")</f>
        <v>Transitioning from Waterfall to Agile Project Management</v>
      </c>
      <c r="T38" s="141"/>
      <c r="U38" s="134"/>
      <c r="V38" s="134"/>
    </row>
    <row r="39" spans="1:22" ht="33.75" customHeight="1" x14ac:dyDescent="0.15">
      <c r="A39" s="134"/>
      <c r="B39" s="134"/>
      <c r="C39" s="138">
        <f ca="1">IFERROR(__xludf.DUMMYFUNCTION("""COMPUTED_VALUE"""),2809588)</f>
        <v>2809588</v>
      </c>
      <c r="D39" s="138" t="str">
        <f ca="1">IFERROR(__xludf.DUMMYFUNCTION("""COMPUTED_VALUE"""),"General")</f>
        <v>General</v>
      </c>
      <c r="E39" s="139" t="str">
        <f ca="1">IFERROR(__xludf.DUMMYFUNCTION("""COMPUTED_VALUE"""),"Following the Digital Thread")</f>
        <v>Following the Digital Thread</v>
      </c>
      <c r="F39" s="141"/>
      <c r="G39" s="134"/>
      <c r="H39" s="134"/>
      <c r="I39" s="134"/>
      <c r="J39" s="138">
        <f ca="1">IFERROR(__xludf.DUMMYFUNCTION("""COMPUTED_VALUE"""),491532)</f>
        <v>491532</v>
      </c>
      <c r="K39" s="138" t="str">
        <f ca="1">IFERROR(__xludf.DUMMYFUNCTION("""COMPUTED_VALUE"""),"General")</f>
        <v>General</v>
      </c>
      <c r="L39" s="139" t="str">
        <f ca="1">IFERROR(__xludf.DUMMYFUNCTION("""COMPUTED_VALUE"""),"Shane Snow on Storytelling")</f>
        <v>Shane Snow on Storytelling</v>
      </c>
      <c r="M39" s="141"/>
      <c r="N39" s="134"/>
      <c r="O39" s="134"/>
      <c r="P39" s="134"/>
      <c r="Q39" s="138">
        <f ca="1">IFERROR(__xludf.DUMMYFUNCTION("""COMPUTED_VALUE"""),2823553)</f>
        <v>2823553</v>
      </c>
      <c r="R39" s="138" t="str">
        <f ca="1">IFERROR(__xludf.DUMMYFUNCTION("""COMPUTED_VALUE"""),"Beginner + Intermediate")</f>
        <v>Beginner + Intermediate</v>
      </c>
      <c r="S39" s="139" t="str">
        <f ca="1">IFERROR(__xludf.DUMMYFUNCTION("""COMPUTED_VALUE"""),"Construction Industry: Safety")</f>
        <v>Construction Industry: Safety</v>
      </c>
      <c r="T39" s="141"/>
      <c r="U39" s="134"/>
      <c r="V39" s="134"/>
    </row>
    <row r="40" spans="1:22" ht="33.75" customHeight="1" x14ac:dyDescent="0.15">
      <c r="A40" s="134"/>
      <c r="B40" s="134"/>
      <c r="C40" s="138">
        <f ca="1">IFERROR(__xludf.DUMMYFUNCTION("""COMPUTED_VALUE"""),2839009)</f>
        <v>2839009</v>
      </c>
      <c r="D40" s="138" t="str">
        <f ca="1">IFERROR(__xludf.DUMMYFUNCTION("""COMPUTED_VALUE"""),"General")</f>
        <v>General</v>
      </c>
      <c r="E40" s="139" t="str">
        <f ca="1">IFERROR(__xludf.DUMMYFUNCTION("""COMPUTED_VALUE"""),"Supply Chain Basics For Everyone")</f>
        <v>Supply Chain Basics For Everyone</v>
      </c>
      <c r="F40" s="141"/>
      <c r="G40" s="134"/>
      <c r="H40" s="134"/>
      <c r="I40" s="134"/>
      <c r="J40" s="138">
        <f ca="1">IFERROR(__xludf.DUMMYFUNCTION("""COMPUTED_VALUE"""),2805116)</f>
        <v>2805116</v>
      </c>
      <c r="K40" s="138" t="str">
        <f ca="1">IFERROR(__xludf.DUMMYFUNCTION("""COMPUTED_VALUE"""),"General")</f>
        <v>General</v>
      </c>
      <c r="L40" s="139" t="str">
        <f ca="1">IFERROR(__xludf.DUMMYFUNCTION("""COMPUTED_VALUE"""),"Delivery Tips for Speaking in Public")</f>
        <v>Delivery Tips for Speaking in Public</v>
      </c>
      <c r="M40" s="141"/>
      <c r="N40" s="134"/>
      <c r="O40" s="134"/>
      <c r="P40" s="134"/>
      <c r="Q40" s="138">
        <f ca="1">IFERROR(__xludf.DUMMYFUNCTION("""COMPUTED_VALUE"""),2824220)</f>
        <v>2824220</v>
      </c>
      <c r="R40" s="138" t="str">
        <f ca="1">IFERROR(__xludf.DUMMYFUNCTION("""COMPUTED_VALUE"""),"General")</f>
        <v>General</v>
      </c>
      <c r="S40" s="139" t="str">
        <f ca="1">IFERROR(__xludf.DUMMYFUNCTION("""COMPUTED_VALUE"""),"What Is a PMO?")</f>
        <v>What Is a PMO?</v>
      </c>
      <c r="T40" s="141"/>
      <c r="U40" s="134"/>
      <c r="V40" s="134"/>
    </row>
    <row r="41" spans="1:22" ht="33.75" customHeight="1" x14ac:dyDescent="0.15">
      <c r="A41" s="134"/>
      <c r="B41" s="134"/>
      <c r="C41" s="138">
        <f ca="1">IFERROR(__xludf.DUMMYFUNCTION("""COMPUTED_VALUE"""),647659)</f>
        <v>647659</v>
      </c>
      <c r="D41" s="138" t="str">
        <f ca="1">IFERROR(__xludf.DUMMYFUNCTION("""COMPUTED_VALUE"""),"General")</f>
        <v>General</v>
      </c>
      <c r="E41" s="139" t="str">
        <f ca="1">IFERROR(__xludf.DUMMYFUNCTION("""COMPUTED_VALUE"""),"Operational Excellence Foundations")</f>
        <v>Operational Excellence Foundations</v>
      </c>
      <c r="F41" s="141"/>
      <c r="G41" s="134"/>
      <c r="H41" s="134"/>
      <c r="I41" s="134"/>
      <c r="J41" s="138">
        <f ca="1">IFERROR(__xludf.DUMMYFUNCTION("""COMPUTED_VALUE"""),5030964)</f>
        <v>5030964</v>
      </c>
      <c r="K41" s="138" t="str">
        <f ca="1">IFERROR(__xludf.DUMMYFUNCTION("""COMPUTED_VALUE"""),"General")</f>
        <v>General</v>
      </c>
      <c r="L41" s="139" t="str">
        <f ca="1">IFERROR(__xludf.DUMMYFUNCTION("""COMPUTED_VALUE"""),"Presentation Tips Weekly")</f>
        <v>Presentation Tips Weekly</v>
      </c>
      <c r="M41" s="141"/>
      <c r="N41" s="134"/>
      <c r="O41" s="134"/>
      <c r="P41" s="134"/>
      <c r="Q41" s="138">
        <f ca="1">IFERROR(__xludf.DUMMYFUNCTION("""COMPUTED_VALUE"""),2824219)</f>
        <v>2824219</v>
      </c>
      <c r="R41" s="138" t="str">
        <f ca="1">IFERROR(__xludf.DUMMYFUNCTION("""COMPUTED_VALUE"""),"General")</f>
        <v>General</v>
      </c>
      <c r="S41" s="139" t="str">
        <f ca="1">IFERROR(__xludf.DUMMYFUNCTION("""COMPUTED_VALUE"""),"What Is Scrum?")</f>
        <v>What Is Scrum?</v>
      </c>
      <c r="T41" s="141"/>
      <c r="U41" s="134"/>
      <c r="V41" s="134"/>
    </row>
    <row r="42" spans="1:22" ht="33.75" customHeight="1" x14ac:dyDescent="0.15">
      <c r="A42" s="134"/>
      <c r="B42" s="134"/>
      <c r="C42" s="138">
        <f ca="1">IFERROR(__xludf.DUMMYFUNCTION("""COMPUTED_VALUE"""),2807102)</f>
        <v>2807102</v>
      </c>
      <c r="D42" s="138" t="str">
        <f ca="1">IFERROR(__xludf.DUMMYFUNCTION("""COMPUTED_VALUE"""),"General")</f>
        <v>General</v>
      </c>
      <c r="E42" s="139" t="str">
        <f ca="1">IFERROR(__xludf.DUMMYFUNCTION("""COMPUTED_VALUE"""),"Supply Chain and Operations Careers: Certification Tips and Tricks")</f>
        <v>Supply Chain and Operations Careers: Certification Tips and Tricks</v>
      </c>
      <c r="F42" s="141"/>
      <c r="G42" s="134"/>
      <c r="H42" s="134"/>
      <c r="I42" s="134"/>
      <c r="J42" s="138">
        <f ca="1">IFERROR(__xludf.DUMMYFUNCTION("""COMPUTED_VALUE"""),2853006)</f>
        <v>2853006</v>
      </c>
      <c r="K42" s="138" t="str">
        <f ca="1">IFERROR(__xludf.DUMMYFUNCTION("""COMPUTED_VALUE"""),"Intermediate")</f>
        <v>Intermediate</v>
      </c>
      <c r="L42" s="139" t="str">
        <f ca="1">IFERROR(__xludf.DUMMYFUNCTION("""COMPUTED_VALUE"""),"PowerPoint: Eight Easy Ways to Make Your Presentation Stand Out")</f>
        <v>PowerPoint: Eight Easy Ways to Make Your Presentation Stand Out</v>
      </c>
      <c r="M42" s="141"/>
      <c r="N42" s="134"/>
      <c r="O42" s="134"/>
      <c r="P42" s="134"/>
      <c r="Q42" s="138">
        <f ca="1">IFERROR(__xludf.DUMMYFUNCTION("""COMPUTED_VALUE"""),2836016)</f>
        <v>2836016</v>
      </c>
      <c r="R42" s="138" t="str">
        <f ca="1">IFERROR(__xludf.DUMMYFUNCTION("""COMPUTED_VALUE"""),"General")</f>
        <v>General</v>
      </c>
      <c r="S42" s="139" t="str">
        <f ca="1">IFERROR(__xludf.DUMMYFUNCTION("""COMPUTED_VALUE"""),"How to Create and Run a Brilliant Remote Workshop")</f>
        <v>How to Create and Run a Brilliant Remote Workshop</v>
      </c>
      <c r="T42" s="141"/>
      <c r="U42" s="134"/>
      <c r="V42" s="134"/>
    </row>
    <row r="43" spans="1:22" ht="33.75" customHeight="1" x14ac:dyDescent="0.15">
      <c r="A43" s="134"/>
      <c r="B43" s="134"/>
      <c r="C43" s="138">
        <f ca="1">IFERROR(__xludf.DUMMYFUNCTION("""COMPUTED_VALUE"""),2835087)</f>
        <v>2835087</v>
      </c>
      <c r="D43" s="138" t="str">
        <f ca="1">IFERROR(__xludf.DUMMYFUNCTION("""COMPUTED_VALUE"""),"General")</f>
        <v>General</v>
      </c>
      <c r="E43" s="139" t="str">
        <f ca="1">IFERROR(__xludf.DUMMYFUNCTION("""COMPUTED_VALUE"""),"How to Make Strategic Thinking a Habit")</f>
        <v>How to Make Strategic Thinking a Habit</v>
      </c>
      <c r="F43" s="141"/>
      <c r="G43" s="134"/>
      <c r="H43" s="134"/>
      <c r="I43" s="134"/>
      <c r="J43" s="138">
        <f ca="1">IFERROR(__xludf.DUMMYFUNCTION("""COMPUTED_VALUE"""),2841294)</f>
        <v>2841294</v>
      </c>
      <c r="K43" s="138" t="str">
        <f ca="1">IFERROR(__xludf.DUMMYFUNCTION("""COMPUTED_VALUE"""),"Intermediate")</f>
        <v>Intermediate</v>
      </c>
      <c r="L43" s="139" t="str">
        <f ca="1">IFERROR(__xludf.DUMMYFUNCTION("""COMPUTED_VALUE"""),"Data-Driven Presentations with Excel and PowerPoint (365/2019)")</f>
        <v>Data-Driven Presentations with Excel and PowerPoint (365/2019)</v>
      </c>
      <c r="M43" s="141"/>
      <c r="N43" s="134"/>
      <c r="O43" s="134"/>
      <c r="P43" s="134"/>
      <c r="Q43" s="138">
        <f ca="1">IFERROR(__xludf.DUMMYFUNCTION("""COMPUTED_VALUE"""),2820009)</f>
        <v>2820009</v>
      </c>
      <c r="R43" s="138" t="str">
        <f ca="1">IFERROR(__xludf.DUMMYFUNCTION("""COMPUTED_VALUE"""),"General")</f>
        <v>General</v>
      </c>
      <c r="S43" s="139" t="str">
        <f ca="1">IFERROR(__xludf.DUMMYFUNCTION("""COMPUTED_VALUE"""),"Comparing Agile versus Waterfall Project Management")</f>
        <v>Comparing Agile versus Waterfall Project Management</v>
      </c>
      <c r="T43" s="141"/>
      <c r="U43" s="134"/>
      <c r="V43" s="134"/>
    </row>
    <row r="44" spans="1:22" ht="33.75" customHeight="1" x14ac:dyDescent="0.15">
      <c r="A44" s="134"/>
      <c r="B44" s="134"/>
      <c r="C44" s="138">
        <f ca="1">IFERROR(__xludf.DUMMYFUNCTION("""COMPUTED_VALUE"""),2841399)</f>
        <v>2841399</v>
      </c>
      <c r="D44" s="138" t="str">
        <f ca="1">IFERROR(__xludf.DUMMYFUNCTION("""COMPUTED_VALUE"""),"General")</f>
        <v>General</v>
      </c>
      <c r="E44" s="139" t="str">
        <f ca="1">IFERROR(__xludf.DUMMYFUNCTION("""COMPUTED_VALUE"""),"Design Thinking: Understanding the Process")</f>
        <v>Design Thinking: Understanding the Process</v>
      </c>
      <c r="F44" s="141"/>
      <c r="G44" s="134"/>
      <c r="H44" s="134"/>
      <c r="I44" s="134"/>
      <c r="J44" s="138">
        <f ca="1">IFERROR(__xludf.DUMMYFUNCTION("""COMPUTED_VALUE"""),151544)</f>
        <v>151544</v>
      </c>
      <c r="K44" s="138" t="str">
        <f ca="1">IFERROR(__xludf.DUMMYFUNCTION("""COMPUTED_VALUE"""),"Intermediate")</f>
        <v>Intermediate</v>
      </c>
      <c r="L44" s="139" t="str">
        <f ca="1">IFERROR(__xludf.DUMMYFUNCTION("""COMPUTED_VALUE"""),"Creating and Giving Business Presentations")</f>
        <v>Creating and Giving Business Presentations</v>
      </c>
      <c r="M44" s="141"/>
      <c r="N44" s="134"/>
      <c r="O44" s="134"/>
      <c r="P44" s="134"/>
      <c r="Q44" s="138">
        <f ca="1">IFERROR(__xludf.DUMMYFUNCTION("""COMPUTED_VALUE"""),2822042)</f>
        <v>2822042</v>
      </c>
      <c r="R44" s="138" t="str">
        <f ca="1">IFERROR(__xludf.DUMMYFUNCTION("""COMPUTED_VALUE"""),"General")</f>
        <v>General</v>
      </c>
      <c r="S44" s="139" t="str">
        <f ca="1">IFERROR(__xludf.DUMMYFUNCTION("""COMPUTED_VALUE"""),"LinkedIn Learning Highlights: Project Management")</f>
        <v>LinkedIn Learning Highlights: Project Management</v>
      </c>
      <c r="T44" s="141"/>
      <c r="U44" s="134"/>
      <c r="V44" s="134"/>
    </row>
    <row r="45" spans="1:22" ht="33.75" customHeight="1" x14ac:dyDescent="0.15">
      <c r="A45" s="134"/>
      <c r="B45" s="134"/>
      <c r="C45" s="138">
        <f ca="1">IFERROR(__xludf.DUMMYFUNCTION("""COMPUTED_VALUE"""),2822695)</f>
        <v>2822695</v>
      </c>
      <c r="D45" s="138" t="str">
        <f ca="1">IFERROR(__xludf.DUMMYFUNCTION("""COMPUTED_VALUE"""),"Intermediate")</f>
        <v>Intermediate</v>
      </c>
      <c r="E45" s="139" t="str">
        <f ca="1">IFERROR(__xludf.DUMMYFUNCTION("""COMPUTED_VALUE"""),"Implementing a Vulnerability Management Program")</f>
        <v>Implementing a Vulnerability Management Program</v>
      </c>
      <c r="F45" s="141"/>
      <c r="G45" s="134"/>
      <c r="H45" s="134"/>
      <c r="I45" s="134"/>
      <c r="J45" s="138">
        <f ca="1">IFERROR(__xludf.DUMMYFUNCTION("""COMPUTED_VALUE"""),435230)</f>
        <v>435230</v>
      </c>
      <c r="K45" s="138" t="str">
        <f ca="1">IFERROR(__xludf.DUMMYFUNCTION("""COMPUTED_VALUE"""),"Intermediate")</f>
        <v>Intermediate</v>
      </c>
      <c r="L45" s="139" t="str">
        <f ca="1">IFERROR(__xludf.DUMMYFUNCTION("""COMPUTED_VALUE"""),"Data Visualization: Storytelling (2016)")</f>
        <v>Data Visualization: Storytelling (2016)</v>
      </c>
      <c r="M45" s="141"/>
      <c r="N45" s="134"/>
      <c r="O45" s="134"/>
      <c r="P45" s="134"/>
      <c r="Q45" s="138">
        <f ca="1">IFERROR(__xludf.DUMMYFUNCTION("""COMPUTED_VALUE"""),2837263)</f>
        <v>2837263</v>
      </c>
      <c r="R45" s="138" t="str">
        <f ca="1">IFERROR(__xludf.DUMMYFUNCTION("""COMPUTED_VALUE"""),"General")</f>
        <v>General</v>
      </c>
      <c r="S45" s="139" t="str">
        <f ca="1">IFERROR(__xludf.DUMMYFUNCTION("""COMPUTED_VALUE"""),"Emotional Intelligence for Project Managers (Blinkist Summary)")</f>
        <v>Emotional Intelligence for Project Managers (Blinkist Summary)</v>
      </c>
      <c r="T45" s="141"/>
      <c r="U45" s="134"/>
      <c r="V45" s="134"/>
    </row>
    <row r="46" spans="1:22" ht="33.75" customHeight="1" x14ac:dyDescent="0.15">
      <c r="A46" s="134"/>
      <c r="B46" s="134"/>
      <c r="C46" s="138">
        <f ca="1">IFERROR(__xludf.DUMMYFUNCTION("""COMPUTED_VALUE"""),786354)</f>
        <v>786354</v>
      </c>
      <c r="D46" s="138" t="str">
        <f ca="1">IFERROR(__xludf.DUMMYFUNCTION("""COMPUTED_VALUE"""),"Intermediate")</f>
        <v>Intermediate</v>
      </c>
      <c r="E46" s="139" t="str">
        <f ca="1">IFERROR(__xludf.DUMMYFUNCTION("""COMPUTED_VALUE"""),"Business Process Improvement")</f>
        <v>Business Process Improvement</v>
      </c>
      <c r="F46" s="141"/>
      <c r="G46" s="134"/>
      <c r="H46" s="134"/>
      <c r="I46" s="134"/>
      <c r="J46" s="138">
        <f ca="1">IFERROR(__xludf.DUMMYFUNCTION("""COMPUTED_VALUE"""),656781)</f>
        <v>656781</v>
      </c>
      <c r="K46" s="138" t="str">
        <f ca="1">IFERROR(__xludf.DUMMYFUNCTION("""COMPUTED_VALUE"""),"Intermediate")</f>
        <v>Intermediate</v>
      </c>
      <c r="L46" s="139" t="str">
        <f ca="1">IFERROR(__xludf.DUMMYFUNCTION("""COMPUTED_VALUE"""),"Facilitation Skills for Managers and Leaders")</f>
        <v>Facilitation Skills for Managers and Leaders</v>
      </c>
      <c r="M46" s="141"/>
      <c r="N46" s="134"/>
      <c r="O46" s="134"/>
      <c r="P46" s="134"/>
      <c r="Q46" s="138">
        <f ca="1">IFERROR(__xludf.DUMMYFUNCTION("""COMPUTED_VALUE"""),2839078)</f>
        <v>2839078</v>
      </c>
      <c r="R46" s="138" t="str">
        <f ca="1">IFERROR(__xludf.DUMMYFUNCTION("""COMPUTED_VALUE"""),"General")</f>
        <v>General</v>
      </c>
      <c r="S46" s="139" t="str">
        <f ca="1">IFERROR(__xludf.DUMMYFUNCTION("""COMPUTED_VALUE"""),"Gemba Kaizen: A Commonsense Approach to Continuous Improvement (Blinkist Summary)")</f>
        <v>Gemba Kaizen: A Commonsense Approach to Continuous Improvement (Blinkist Summary)</v>
      </c>
      <c r="T46" s="141"/>
      <c r="U46" s="134"/>
      <c r="V46" s="134"/>
    </row>
    <row r="47" spans="1:22" ht="33.75" customHeight="1" x14ac:dyDescent="0.15">
      <c r="A47" s="134"/>
      <c r="B47" s="134"/>
      <c r="C47" s="138">
        <f ca="1">IFERROR(__xludf.DUMMYFUNCTION("""COMPUTED_VALUE"""),622078)</f>
        <v>622078</v>
      </c>
      <c r="D47" s="138" t="str">
        <f ca="1">IFERROR(__xludf.DUMMYFUNCTION("""COMPUTED_VALUE"""),"Intermediate")</f>
        <v>Intermediate</v>
      </c>
      <c r="E47" s="139" t="str">
        <f ca="1">IFERROR(__xludf.DUMMYFUNCTION("""COMPUTED_VALUE"""),"DevOps Foundations: Lean and Agile")</f>
        <v>DevOps Foundations: Lean and Agile</v>
      </c>
      <c r="F47" s="141"/>
      <c r="G47" s="134"/>
      <c r="H47" s="134"/>
      <c r="I47" s="134"/>
      <c r="J47" s="138">
        <f ca="1">IFERROR(__xludf.DUMMYFUNCTION("""COMPUTED_VALUE"""),415362)</f>
        <v>415362</v>
      </c>
      <c r="K47" s="138" t="str">
        <f ca="1">IFERROR(__xludf.DUMMYFUNCTION("""COMPUTED_VALUE"""),"Intermediate")</f>
        <v>Intermediate</v>
      </c>
      <c r="L47" s="139" t="str">
        <f ca="1">IFERROR(__xludf.DUMMYFUNCTION("""COMPUTED_VALUE"""),"Making Great Sales Presentations")</f>
        <v>Making Great Sales Presentations</v>
      </c>
      <c r="M47" s="141"/>
      <c r="N47" s="134"/>
      <c r="O47" s="134"/>
      <c r="P47" s="134"/>
      <c r="Q47" s="138">
        <f ca="1">IFERROR(__xludf.DUMMYFUNCTION("""COMPUTED_VALUE"""),2818082)</f>
        <v>2818082</v>
      </c>
      <c r="R47" s="138" t="str">
        <f ca="1">IFERROR(__xludf.DUMMYFUNCTION("""COMPUTED_VALUE"""),"Intermediate")</f>
        <v>Intermediate</v>
      </c>
      <c r="S47" s="139" t="str">
        <f ca="1">IFERROR(__xludf.DUMMYFUNCTION("""COMPUTED_VALUE"""),"Lean Technology Strategy: Economic Frameworks for Portfolio and Product Management")</f>
        <v>Lean Technology Strategy: Economic Frameworks for Portfolio and Product Management</v>
      </c>
      <c r="T47" s="141"/>
      <c r="U47" s="134"/>
      <c r="V47" s="134"/>
    </row>
    <row r="48" spans="1:22" ht="33.75" customHeight="1" x14ac:dyDescent="0.15">
      <c r="A48" s="134"/>
      <c r="B48" s="134"/>
      <c r="C48" s="138">
        <f ca="1">IFERROR(__xludf.DUMMYFUNCTION("""COMPUTED_VALUE"""),2841547)</f>
        <v>2841547</v>
      </c>
      <c r="D48" s="138" t="str">
        <f ca="1">IFERROR(__xludf.DUMMYFUNCTION("""COMPUTED_VALUE"""),"Intermediate")</f>
        <v>Intermediate</v>
      </c>
      <c r="E48" s="139" t="str">
        <f ca="1">IFERROR(__xludf.DUMMYFUNCTION("""COMPUTED_VALUE"""),"UX Deep Dive: Remote Research")</f>
        <v>UX Deep Dive: Remote Research</v>
      </c>
      <c r="F48" s="141"/>
      <c r="G48" s="134"/>
      <c r="H48" s="134"/>
      <c r="I48" s="134"/>
      <c r="J48" s="138">
        <f ca="1">IFERROR(__xludf.DUMMYFUNCTION("""COMPUTED_VALUE"""),758613)</f>
        <v>758613</v>
      </c>
      <c r="K48" s="138" t="str">
        <f ca="1">IFERROR(__xludf.DUMMYFUNCTION("""COMPUTED_VALUE"""),"Intermediate")</f>
        <v>Intermediate</v>
      </c>
      <c r="L48" s="153" t="str">
        <f ca="1">IFERROR(__xludf.DUMMYFUNCTION("""COMPUTED_VALUE"""),"Meeting Facilitation")</f>
        <v>Meeting Facilitation</v>
      </c>
      <c r="M48" s="152"/>
      <c r="N48" s="134"/>
      <c r="O48" s="134"/>
      <c r="P48" s="134"/>
      <c r="Q48" s="138">
        <f ca="1">IFERROR(__xludf.DUMMYFUNCTION("""COMPUTED_VALUE"""),2822422)</f>
        <v>2822422</v>
      </c>
      <c r="R48" s="138" t="str">
        <f ca="1">IFERROR(__xludf.DUMMYFUNCTION("""COMPUTED_VALUE"""),"Intermediate")</f>
        <v>Intermediate</v>
      </c>
      <c r="S48" s="139" t="str">
        <f ca="1">IFERROR(__xludf.DUMMYFUNCTION("""COMPUTED_VALUE"""),"How to Successfully Lead a PMO")</f>
        <v>How to Successfully Lead a PMO</v>
      </c>
      <c r="T48" s="141"/>
      <c r="U48" s="134"/>
      <c r="V48" s="134"/>
    </row>
    <row r="49" spans="1:22" ht="33.75" customHeight="1" x14ac:dyDescent="0.15">
      <c r="A49" s="134"/>
      <c r="B49" s="134"/>
      <c r="C49" s="138">
        <f ca="1">IFERROR(__xludf.DUMMYFUNCTION("""COMPUTED_VALUE"""),2849197)</f>
        <v>2849197</v>
      </c>
      <c r="D49" s="138" t="str">
        <f ca="1">IFERROR(__xludf.DUMMYFUNCTION("""COMPUTED_VALUE"""),"Intermediate")</f>
        <v>Intermediate</v>
      </c>
      <c r="E49" s="139" t="str">
        <f ca="1">IFERROR(__xludf.DUMMYFUNCTION("""COMPUTED_VALUE"""),"Leading with Next-Generation KPIs, with Michael Schrage")</f>
        <v>Leading with Next-Generation KPIs, with Michael Schrage</v>
      </c>
      <c r="F49" s="141"/>
      <c r="G49" s="134"/>
      <c r="H49" s="134"/>
      <c r="I49" s="134"/>
      <c r="J49" s="138">
        <f ca="1">IFERROR(__xludf.DUMMYFUNCTION("""COMPUTED_VALUE"""),494105)</f>
        <v>494105</v>
      </c>
      <c r="K49" s="138" t="str">
        <f ca="1">IFERROR(__xludf.DUMMYFUNCTION("""COMPUTED_VALUE"""),"Intermediate")</f>
        <v>Intermediate</v>
      </c>
      <c r="L49" s="153" t="str">
        <f ca="1">IFERROR(__xludf.DUMMYFUNCTION("""COMPUTED_VALUE"""),"PowerPoint 2016: Audio and Video In Depth")</f>
        <v>PowerPoint 2016: Audio and Video In Depth</v>
      </c>
      <c r="M49" s="152"/>
      <c r="N49" s="134"/>
      <c r="O49" s="134"/>
      <c r="P49" s="134"/>
      <c r="Q49" s="138">
        <f ca="1">IFERROR(__xludf.DUMMYFUNCTION("""COMPUTED_VALUE"""),2800329)</f>
        <v>2800329</v>
      </c>
      <c r="R49" s="138" t="str">
        <f ca="1">IFERROR(__xludf.DUMMYFUNCTION("""COMPUTED_VALUE"""),"Intermediate")</f>
        <v>Intermediate</v>
      </c>
      <c r="S49" s="139" t="str">
        <f ca="1">IFERROR(__xludf.DUMMYFUNCTION("""COMPUTED_VALUE"""),"Creating a Program Strategy")</f>
        <v>Creating a Program Strategy</v>
      </c>
      <c r="T49" s="141"/>
      <c r="U49" s="134"/>
      <c r="V49" s="134"/>
    </row>
    <row r="50" spans="1:22" ht="33.75" customHeight="1" x14ac:dyDescent="0.15">
      <c r="A50" s="134"/>
      <c r="B50" s="134"/>
      <c r="C50" s="138">
        <f ca="1">IFERROR(__xludf.DUMMYFUNCTION("""COMPUTED_VALUE"""),2848248)</f>
        <v>2848248</v>
      </c>
      <c r="D50" s="138" t="str">
        <f ca="1">IFERROR(__xludf.DUMMYFUNCTION("""COMPUTED_VALUE"""),"Intermediate")</f>
        <v>Intermediate</v>
      </c>
      <c r="E50" s="139" t="str">
        <f ca="1">IFERROR(__xludf.DUMMYFUNCTION("""COMPUTED_VALUE"""),"Building and Managing Signature Products")</f>
        <v>Building and Managing Signature Products</v>
      </c>
      <c r="F50" s="141"/>
      <c r="G50" s="134"/>
      <c r="H50" s="134"/>
      <c r="I50" s="134"/>
      <c r="J50" s="138">
        <f ca="1">IFERROR(__xludf.DUMMYFUNCTION("""COMPUTED_VALUE"""),487940)</f>
        <v>487940</v>
      </c>
      <c r="K50" s="138" t="str">
        <f ca="1">IFERROR(__xludf.DUMMYFUNCTION("""COMPUTED_VALUE"""),"Intermediate")</f>
        <v>Intermediate</v>
      </c>
      <c r="L50" s="153" t="str">
        <f ca="1">IFERROR(__xludf.DUMMYFUNCTION("""COMPUTED_VALUE"""),"PowerPoint 2016: Tips and Tricks")</f>
        <v>PowerPoint 2016: Tips and Tricks</v>
      </c>
      <c r="M50" s="152"/>
      <c r="N50" s="134"/>
      <c r="O50" s="134"/>
      <c r="P50" s="134"/>
      <c r="Q50" s="138">
        <f ca="1">IFERROR(__xludf.DUMMYFUNCTION("""COMPUTED_VALUE"""),699331)</f>
        <v>699331</v>
      </c>
      <c r="R50" s="138" t="str">
        <f ca="1">IFERROR(__xludf.DUMMYFUNCTION("""COMPUTED_VALUE"""),"Intermediate")</f>
        <v>Intermediate</v>
      </c>
      <c r="S50" s="139" t="str">
        <f ca="1">IFERROR(__xludf.DUMMYFUNCTION("""COMPUTED_VALUE"""),"Adaptive Project Leadership")</f>
        <v>Adaptive Project Leadership</v>
      </c>
      <c r="T50" s="141"/>
      <c r="U50" s="134"/>
      <c r="V50" s="134"/>
    </row>
    <row r="51" spans="1:22" ht="33.75" customHeight="1" x14ac:dyDescent="0.15">
      <c r="A51" s="134"/>
      <c r="B51" s="134"/>
      <c r="C51" s="138">
        <f ca="1">IFERROR(__xludf.DUMMYFUNCTION("""COMPUTED_VALUE"""),2856077)</f>
        <v>2856077</v>
      </c>
      <c r="D51" s="138" t="str">
        <f ca="1">IFERROR(__xludf.DUMMYFUNCTION("""COMPUTED_VALUE"""),"Intermediate")</f>
        <v>Intermediate</v>
      </c>
      <c r="E51" s="139" t="str">
        <f ca="1">IFERROR(__xludf.DUMMYFUNCTION("""COMPUTED_VALUE"""),"Excel Supply Chain Analysis: Solving Transportation Problems")</f>
        <v>Excel Supply Chain Analysis: Solving Transportation Problems</v>
      </c>
      <c r="F51" s="141"/>
      <c r="G51" s="134"/>
      <c r="H51" s="134"/>
      <c r="I51" s="134"/>
      <c r="J51" s="138">
        <f ca="1">IFERROR(__xludf.DUMMYFUNCTION("""COMPUTED_VALUE"""),743144)</f>
        <v>743144</v>
      </c>
      <c r="K51" s="138" t="str">
        <f ca="1">IFERROR(__xludf.DUMMYFUNCTION("""COMPUTED_VALUE"""),"Intermediate")</f>
        <v>Intermediate</v>
      </c>
      <c r="L51" s="153" t="str">
        <f ca="1">IFERROR(__xludf.DUMMYFUNCTION("""COMPUTED_VALUE"""),"Preparing for Successful Communication")</f>
        <v>Preparing for Successful Communication</v>
      </c>
      <c r="M51" s="152"/>
      <c r="N51" s="134"/>
      <c r="O51" s="134"/>
      <c r="P51" s="134"/>
      <c r="Q51" s="138">
        <f ca="1">IFERROR(__xludf.DUMMYFUNCTION("""COMPUTED_VALUE"""),5019797)</f>
        <v>5019797</v>
      </c>
      <c r="R51" s="138" t="str">
        <f ca="1">IFERROR(__xludf.DUMMYFUNCTION("""COMPUTED_VALUE"""),"Intermediate")</f>
        <v>Intermediate</v>
      </c>
      <c r="S51" s="139" t="str">
        <f ca="1">IFERROR(__xludf.DUMMYFUNCTION("""COMPUTED_VALUE"""),"Blending Project Management Methods")</f>
        <v>Blending Project Management Methods</v>
      </c>
      <c r="T51" s="141"/>
      <c r="U51" s="134"/>
      <c r="V51" s="134"/>
    </row>
    <row r="52" spans="1:22" ht="33.75" customHeight="1" x14ac:dyDescent="0.15">
      <c r="A52" s="134"/>
      <c r="B52" s="134"/>
      <c r="C52" s="138">
        <f ca="1">IFERROR(__xludf.DUMMYFUNCTION("""COMPUTED_VALUE"""),560126)</f>
        <v>560126</v>
      </c>
      <c r="D52" s="138" t="str">
        <f ca="1">IFERROR(__xludf.DUMMYFUNCTION("""COMPUTED_VALUE"""),"Intermediate")</f>
        <v>Intermediate</v>
      </c>
      <c r="E52" s="139" t="str">
        <f ca="1">IFERROR(__xludf.DUMMYFUNCTION("""COMPUTED_VALUE"""),"Enterprise Agile: Changing Your Culture")</f>
        <v>Enterprise Agile: Changing Your Culture</v>
      </c>
      <c r="F52" s="141"/>
      <c r="G52" s="134"/>
      <c r="H52" s="134"/>
      <c r="I52" s="134"/>
      <c r="J52" s="138">
        <f ca="1">IFERROR(__xludf.DUMMYFUNCTION("""COMPUTED_VALUE"""),599599)</f>
        <v>599599</v>
      </c>
      <c r="K52" s="138" t="str">
        <f ca="1">IFERROR(__xludf.DUMMYFUNCTION("""COMPUTED_VALUE"""),"Intermediate")</f>
        <v>Intermediate</v>
      </c>
      <c r="L52" s="153" t="str">
        <f ca="1">IFERROR(__xludf.DUMMYFUNCTION("""COMPUTED_VALUE"""),"Workshop Facilitation")</f>
        <v>Workshop Facilitation</v>
      </c>
      <c r="M52" s="152"/>
      <c r="N52" s="134"/>
      <c r="O52" s="134"/>
      <c r="P52" s="134"/>
      <c r="Q52" s="138">
        <f ca="1">IFERROR(__xludf.DUMMYFUNCTION("""COMPUTED_VALUE"""),604222)</f>
        <v>604222</v>
      </c>
      <c r="R52" s="138" t="str">
        <f ca="1">IFERROR(__xludf.DUMMYFUNCTION("""COMPUTED_VALUE"""),"Intermediate")</f>
        <v>Intermediate</v>
      </c>
      <c r="S52" s="139" t="str">
        <f ca="1">IFERROR(__xludf.DUMMYFUNCTION("""COMPUTED_VALUE"""),"Exam Tips: Certified Associate in Project Management (CAPM)®")</f>
        <v>Exam Tips: Certified Associate in Project Management (CAPM)®</v>
      </c>
      <c r="T52" s="141"/>
      <c r="U52" s="134"/>
      <c r="V52" s="134"/>
    </row>
    <row r="53" spans="1:22" ht="33.75" customHeight="1" x14ac:dyDescent="0.15">
      <c r="A53" s="134"/>
      <c r="B53" s="134"/>
      <c r="C53" s="138">
        <f ca="1">IFERROR(__xludf.DUMMYFUNCTION("""COMPUTED_VALUE"""),724788)</f>
        <v>724788</v>
      </c>
      <c r="D53" s="138" t="str">
        <f ca="1">IFERROR(__xludf.DUMMYFUNCTION("""COMPUTED_VALUE"""),"Intermediate")</f>
        <v>Intermediate</v>
      </c>
      <c r="E53" s="139" t="str">
        <f ca="1">IFERROR(__xludf.DUMMYFUNCTION("""COMPUTED_VALUE"""),"Implementing Supply Chain Management")</f>
        <v>Implementing Supply Chain Management</v>
      </c>
      <c r="F53" s="141"/>
      <c r="G53" s="134"/>
      <c r="H53" s="134"/>
      <c r="I53" s="134"/>
      <c r="J53" s="138"/>
      <c r="K53" s="138"/>
      <c r="L53" s="151"/>
      <c r="M53" s="152"/>
      <c r="N53" s="134"/>
      <c r="O53" s="134"/>
      <c r="P53" s="134"/>
      <c r="Q53" s="138">
        <f ca="1">IFERROR(__xludf.DUMMYFUNCTION("""COMPUTED_VALUE"""),483102)</f>
        <v>483102</v>
      </c>
      <c r="R53" s="138" t="str">
        <f ca="1">IFERROR(__xludf.DUMMYFUNCTION("""COMPUTED_VALUE"""),"Intermediate")</f>
        <v>Intermediate</v>
      </c>
      <c r="S53" s="139" t="str">
        <f ca="1">IFERROR(__xludf.DUMMYFUNCTION("""COMPUTED_VALUE"""),"Leading Projects")</f>
        <v>Leading Projects</v>
      </c>
      <c r="T53" s="141"/>
      <c r="U53" s="134"/>
      <c r="V53" s="134"/>
    </row>
    <row r="54" spans="1:22" ht="33.75" customHeight="1" x14ac:dyDescent="0.15">
      <c r="A54" s="134"/>
      <c r="B54" s="134"/>
      <c r="C54" s="138">
        <f ca="1">IFERROR(__xludf.DUMMYFUNCTION("""COMPUTED_VALUE"""),721924)</f>
        <v>721924</v>
      </c>
      <c r="D54" s="138" t="str">
        <f ca="1">IFERROR(__xludf.DUMMYFUNCTION("""COMPUTED_VALUE"""),"Intermediate")</f>
        <v>Intermediate</v>
      </c>
      <c r="E54" s="139" t="str">
        <f ca="1">IFERROR(__xludf.DUMMYFUNCTION("""COMPUTED_VALUE"""),"Lean Six Sigma: Analyze, Improve, and Control Tools")</f>
        <v>Lean Six Sigma: Analyze, Improve, and Control Tools</v>
      </c>
      <c r="F54" s="141"/>
      <c r="G54" s="134"/>
      <c r="H54" s="134"/>
      <c r="I54" s="134"/>
      <c r="J54" s="138"/>
      <c r="K54" s="138"/>
      <c r="L54" s="151"/>
      <c r="M54" s="152"/>
      <c r="N54" s="134"/>
      <c r="O54" s="134"/>
      <c r="P54" s="134"/>
      <c r="Q54" s="138">
        <f ca="1">IFERROR(__xludf.DUMMYFUNCTION("""COMPUTED_VALUE"""),630598)</f>
        <v>630598</v>
      </c>
      <c r="R54" s="138" t="str">
        <f ca="1">IFERROR(__xludf.DUMMYFUNCTION("""COMPUTED_VALUE"""),"Intermediate")</f>
        <v>Intermediate</v>
      </c>
      <c r="S54" s="139" t="str">
        <f ca="1">IFERROR(__xludf.DUMMYFUNCTION("""COMPUTED_VALUE"""),"Product Management: Building a Product Roadmap")</f>
        <v>Product Management: Building a Product Roadmap</v>
      </c>
      <c r="T54" s="141"/>
      <c r="U54" s="134"/>
      <c r="V54" s="134"/>
    </row>
    <row r="55" spans="1:22" ht="33.75" customHeight="1" x14ac:dyDescent="0.15">
      <c r="A55" s="134"/>
      <c r="B55" s="134"/>
      <c r="C55" s="138">
        <f ca="1">IFERROR(__xludf.DUMMYFUNCTION("""COMPUTED_VALUE"""),721919)</f>
        <v>721919</v>
      </c>
      <c r="D55" s="138" t="str">
        <f ca="1">IFERROR(__xludf.DUMMYFUNCTION("""COMPUTED_VALUE"""),"Intermediate")</f>
        <v>Intermediate</v>
      </c>
      <c r="E55" s="139" t="str">
        <f ca="1">IFERROR(__xludf.DUMMYFUNCTION("""COMPUTED_VALUE"""),"Lean Six Sigma: Define and Measure Tools")</f>
        <v>Lean Six Sigma: Define and Measure Tools</v>
      </c>
      <c r="F55" s="141"/>
      <c r="G55" s="134"/>
      <c r="H55" s="134"/>
      <c r="I55" s="134"/>
      <c r="J55" s="138"/>
      <c r="K55" s="138"/>
      <c r="L55" s="151"/>
      <c r="M55" s="152"/>
      <c r="N55" s="134"/>
      <c r="O55" s="134"/>
      <c r="P55" s="134"/>
      <c r="Q55" s="138">
        <f ca="1">IFERROR(__xludf.DUMMYFUNCTION("""COMPUTED_VALUE"""),580636)</f>
        <v>580636</v>
      </c>
      <c r="R55" s="138" t="str">
        <f ca="1">IFERROR(__xludf.DUMMYFUNCTION("""COMPUTED_VALUE"""),"Intermediate")</f>
        <v>Intermediate</v>
      </c>
      <c r="S55" s="139" t="str">
        <f ca="1">IFERROR(__xludf.DUMMYFUNCTION("""COMPUTED_VALUE"""),"Learning Program Management")</f>
        <v>Learning Program Management</v>
      </c>
      <c r="T55" s="141"/>
      <c r="U55" s="134"/>
      <c r="V55" s="134"/>
    </row>
    <row r="56" spans="1:22" ht="33.75" customHeight="1" x14ac:dyDescent="0.15">
      <c r="A56" s="134"/>
      <c r="B56" s="134"/>
      <c r="C56" s="138">
        <f ca="1">IFERROR(__xludf.DUMMYFUNCTION("""COMPUTED_VALUE"""),737769)</f>
        <v>737769</v>
      </c>
      <c r="D56" s="138" t="str">
        <f ca="1">IFERROR(__xludf.DUMMYFUNCTION("""COMPUTED_VALUE"""),"Intermediate")</f>
        <v>Intermediate</v>
      </c>
      <c r="E56" s="139" t="str">
        <f ca="1">IFERROR(__xludf.DUMMYFUNCTION("""COMPUTED_VALUE"""),"Lean Technology Strategy: Starting Your Business Transformation")</f>
        <v>Lean Technology Strategy: Starting Your Business Transformation</v>
      </c>
      <c r="F56" s="141"/>
      <c r="G56" s="134"/>
      <c r="H56" s="134"/>
      <c r="I56" s="134"/>
      <c r="J56" s="138"/>
      <c r="K56" s="138"/>
      <c r="L56" s="151"/>
      <c r="M56" s="152"/>
      <c r="N56" s="134"/>
      <c r="O56" s="134"/>
      <c r="P56" s="134"/>
      <c r="Q56" s="138">
        <f ca="1">IFERROR(__xludf.DUMMYFUNCTION("""COMPUTED_VALUE"""),761930)</f>
        <v>761930</v>
      </c>
      <c r="R56" s="138" t="str">
        <f ca="1">IFERROR(__xludf.DUMMYFUNCTION("""COMPUTED_VALUE"""),"Intermediate")</f>
        <v>Intermediate</v>
      </c>
      <c r="S56" s="139" t="str">
        <f ca="1">IFERROR(__xludf.DUMMYFUNCTION("""COMPUTED_VALUE"""),"Project Management Foundations: Budgets")</f>
        <v>Project Management Foundations: Budgets</v>
      </c>
      <c r="T56" s="141"/>
      <c r="U56" s="134"/>
      <c r="V56" s="134"/>
    </row>
    <row r="57" spans="1:22" ht="33.75" customHeight="1" x14ac:dyDescent="0.15">
      <c r="A57" s="134"/>
      <c r="B57" s="134"/>
      <c r="C57" s="138">
        <f ca="1">IFERROR(__xludf.DUMMYFUNCTION("""COMPUTED_VALUE"""),774892)</f>
        <v>774892</v>
      </c>
      <c r="D57" s="138" t="str">
        <f ca="1">IFERROR(__xludf.DUMMYFUNCTION("""COMPUTED_VALUE"""),"Intermediate")</f>
        <v>Intermediate</v>
      </c>
      <c r="E57" s="139" t="str">
        <f ca="1">IFERROR(__xludf.DUMMYFUNCTION("""COMPUTED_VALUE"""),"Operational Excellence Work-Out and Kaizen Facilitator")</f>
        <v>Operational Excellence Work-Out and Kaizen Facilitator</v>
      </c>
      <c r="F57" s="141"/>
      <c r="G57" s="134"/>
      <c r="H57" s="134"/>
      <c r="I57" s="134"/>
      <c r="J57" s="138"/>
      <c r="K57" s="138"/>
      <c r="L57" s="151"/>
      <c r="M57" s="152"/>
      <c r="N57" s="134"/>
      <c r="O57" s="134"/>
      <c r="P57" s="134"/>
      <c r="Q57" s="138">
        <f ca="1">IFERROR(__xludf.DUMMYFUNCTION("""COMPUTED_VALUE"""),761927)</f>
        <v>761927</v>
      </c>
      <c r="R57" s="138" t="str">
        <f ca="1">IFERROR(__xludf.DUMMYFUNCTION("""COMPUTED_VALUE"""),"Intermediate")</f>
        <v>Intermediate</v>
      </c>
      <c r="S57" s="139" t="str">
        <f ca="1">IFERROR(__xludf.DUMMYFUNCTION("""COMPUTED_VALUE"""),"Project Management Foundations: Procurement")</f>
        <v>Project Management Foundations: Procurement</v>
      </c>
      <c r="T57" s="141"/>
      <c r="U57" s="134"/>
      <c r="V57" s="134"/>
    </row>
    <row r="58" spans="1:22" ht="33.75" customHeight="1" x14ac:dyDescent="0.15">
      <c r="A58" s="134"/>
      <c r="B58" s="134"/>
      <c r="C58" s="138">
        <f ca="1">IFERROR(__xludf.DUMMYFUNCTION("""COMPUTED_VALUE"""),628691)</f>
        <v>628691</v>
      </c>
      <c r="D58" s="138" t="str">
        <f ca="1">IFERROR(__xludf.DUMMYFUNCTION("""COMPUTED_VALUE"""),"Intermediate")</f>
        <v>Intermediate</v>
      </c>
      <c r="E58" s="139" t="str">
        <f ca="1">IFERROR(__xludf.DUMMYFUNCTION("""COMPUTED_VALUE"""),"Product Management: Building a Product Strategy")</f>
        <v>Product Management: Building a Product Strategy</v>
      </c>
      <c r="F58" s="141"/>
      <c r="G58" s="134"/>
      <c r="H58" s="134"/>
      <c r="I58" s="134"/>
      <c r="J58" s="138"/>
      <c r="K58" s="138"/>
      <c r="L58" s="151"/>
      <c r="M58" s="152"/>
      <c r="N58" s="134"/>
      <c r="O58" s="134"/>
      <c r="P58" s="134"/>
      <c r="Q58" s="138">
        <f ca="1">IFERROR(__xludf.DUMMYFUNCTION("""COMPUTED_VALUE"""),761928)</f>
        <v>761928</v>
      </c>
      <c r="R58" s="138" t="str">
        <f ca="1">IFERROR(__xludf.DUMMYFUNCTION("""COMPUTED_VALUE"""),"Intermediate")</f>
        <v>Intermediate</v>
      </c>
      <c r="S58" s="139" t="str">
        <f ca="1">IFERROR(__xludf.DUMMYFUNCTION("""COMPUTED_VALUE"""),"Project Management Foundations: Risk")</f>
        <v>Project Management Foundations: Risk</v>
      </c>
      <c r="T58" s="141"/>
      <c r="U58" s="134"/>
      <c r="V58" s="134"/>
    </row>
    <row r="59" spans="1:22" ht="33.75" customHeight="1" x14ac:dyDescent="0.15">
      <c r="A59" s="134"/>
      <c r="B59" s="134"/>
      <c r="C59" s="138">
        <f ca="1">IFERROR(__xludf.DUMMYFUNCTION("""COMPUTED_VALUE"""),396669)</f>
        <v>396669</v>
      </c>
      <c r="D59" s="138" t="str">
        <f ca="1">IFERROR(__xludf.DUMMYFUNCTION("""COMPUTED_VALUE"""),"Intermediate")</f>
        <v>Intermediate</v>
      </c>
      <c r="E59" s="139" t="str">
        <f ca="1">IFERROR(__xludf.DUMMYFUNCTION("""COMPUTED_VALUE"""),"Purchasing Foundations")</f>
        <v>Purchasing Foundations</v>
      </c>
      <c r="F59" s="141"/>
      <c r="G59" s="134"/>
      <c r="H59" s="134"/>
      <c r="I59" s="134"/>
      <c r="J59" s="138"/>
      <c r="K59" s="138"/>
      <c r="L59" s="151"/>
      <c r="M59" s="152"/>
      <c r="N59" s="134"/>
      <c r="O59" s="134"/>
      <c r="P59" s="134"/>
      <c r="Q59" s="138">
        <f ca="1">IFERROR(__xludf.DUMMYFUNCTION("""COMPUTED_VALUE"""),450184)</f>
        <v>450184</v>
      </c>
      <c r="R59" s="138" t="str">
        <f ca="1">IFERROR(__xludf.DUMMYFUNCTION("""COMPUTED_VALUE"""),"Intermediate")</f>
        <v>Intermediate</v>
      </c>
      <c r="S59" s="139" t="str">
        <f ca="1">IFERROR(__xludf.DUMMYFUNCTION("""COMPUTED_VALUE"""),"Project Management: Technical Projects")</f>
        <v>Project Management: Technical Projects</v>
      </c>
      <c r="T59" s="141"/>
      <c r="U59" s="134"/>
      <c r="V59" s="134"/>
    </row>
    <row r="60" spans="1:22" ht="33.75" customHeight="1" x14ac:dyDescent="0.15">
      <c r="A60" s="134"/>
      <c r="B60" s="134"/>
      <c r="C60" s="138">
        <f ca="1">IFERROR(__xludf.DUMMYFUNCTION("""COMPUTED_VALUE"""),550748)</f>
        <v>550748</v>
      </c>
      <c r="D60" s="138" t="str">
        <f ca="1">IFERROR(__xludf.DUMMYFUNCTION("""COMPUTED_VALUE"""),"Intermediate")</f>
        <v>Intermediate</v>
      </c>
      <c r="E60" s="139" t="str">
        <f ca="1">IFERROR(__xludf.DUMMYFUNCTION("""COMPUTED_VALUE"""),"Six Sigma: Black Belt")</f>
        <v>Six Sigma: Black Belt</v>
      </c>
      <c r="F60" s="141"/>
      <c r="G60" s="134"/>
      <c r="H60" s="134"/>
      <c r="I60" s="134"/>
      <c r="J60" s="138"/>
      <c r="K60" s="138"/>
      <c r="L60" s="151"/>
      <c r="M60" s="152"/>
      <c r="N60" s="134"/>
      <c r="O60" s="134"/>
      <c r="P60" s="134"/>
      <c r="Q60" s="138">
        <f ca="1">IFERROR(__xludf.DUMMYFUNCTION("""COMPUTED_VALUE"""),2823322)</f>
        <v>2823322</v>
      </c>
      <c r="R60" s="138" t="str">
        <f ca="1">IFERROR(__xludf.DUMMYFUNCTION("""COMPUTED_VALUE"""),"Intermediate")</f>
        <v>Intermediate</v>
      </c>
      <c r="S60" s="139" t="str">
        <f ca="1">IFERROR(__xludf.DUMMYFUNCTION("""COMPUTED_VALUE"""),"The Top PMO Challenges")</f>
        <v>The Top PMO Challenges</v>
      </c>
      <c r="T60" s="141"/>
      <c r="U60" s="134"/>
      <c r="V60" s="134"/>
    </row>
    <row r="61" spans="1:22" ht="33.75" customHeight="1" x14ac:dyDescent="0.15">
      <c r="A61" s="134"/>
      <c r="B61" s="134"/>
      <c r="C61" s="138">
        <f ca="1">IFERROR(__xludf.DUMMYFUNCTION("""COMPUTED_VALUE"""),550747)</f>
        <v>550747</v>
      </c>
      <c r="D61" s="138" t="str">
        <f ca="1">IFERROR(__xludf.DUMMYFUNCTION("""COMPUTED_VALUE"""),"Intermediate")</f>
        <v>Intermediate</v>
      </c>
      <c r="E61" s="139" t="str">
        <f ca="1">IFERROR(__xludf.DUMMYFUNCTION("""COMPUTED_VALUE"""),"Six Sigma: Green Belt")</f>
        <v>Six Sigma: Green Belt</v>
      </c>
      <c r="F61" s="141"/>
      <c r="G61" s="134"/>
      <c r="H61" s="134"/>
      <c r="I61" s="134"/>
      <c r="J61" s="138"/>
      <c r="K61" s="138"/>
      <c r="L61" s="151"/>
      <c r="M61" s="152"/>
      <c r="N61" s="134"/>
      <c r="O61" s="134"/>
      <c r="P61" s="134"/>
      <c r="Q61" s="138">
        <f ca="1">IFERROR(__xludf.DUMMYFUNCTION("""COMPUTED_VALUE"""),2824377)</f>
        <v>2824377</v>
      </c>
      <c r="R61" s="138" t="str">
        <f ca="1">IFERROR(__xludf.DUMMYFUNCTION("""COMPUTED_VALUE"""),"Intermediate")</f>
        <v>Intermediate</v>
      </c>
      <c r="S61" s="139" t="str">
        <f ca="1">IFERROR(__xludf.DUMMYFUNCTION("""COMPUTED_VALUE"""),"Managing Projects with Microsoft Teams")</f>
        <v>Managing Projects with Microsoft Teams</v>
      </c>
      <c r="T61" s="141"/>
      <c r="U61" s="134"/>
      <c r="V61" s="134"/>
    </row>
    <row r="62" spans="1:22" ht="33.75" customHeight="1" x14ac:dyDescent="0.15">
      <c r="A62" s="134"/>
      <c r="B62" s="134"/>
      <c r="C62" s="138">
        <f ca="1">IFERROR(__xludf.DUMMYFUNCTION("""COMPUTED_VALUE"""),431182)</f>
        <v>431182</v>
      </c>
      <c r="D62" s="138" t="str">
        <f ca="1">IFERROR(__xludf.DUMMYFUNCTION("""COMPUTED_VALUE"""),"Intermediate")</f>
        <v>Intermediate</v>
      </c>
      <c r="E62" s="139" t="str">
        <f ca="1">IFERROR(__xludf.DUMMYFUNCTION("""COMPUTED_VALUE"""),"Sustainability Strategies")</f>
        <v>Sustainability Strategies</v>
      </c>
      <c r="F62" s="141"/>
      <c r="G62" s="134"/>
      <c r="H62" s="134"/>
      <c r="I62" s="134"/>
      <c r="J62" s="138"/>
      <c r="K62" s="138"/>
      <c r="L62" s="151"/>
      <c r="M62" s="152"/>
      <c r="N62" s="134"/>
      <c r="O62" s="134"/>
      <c r="P62" s="134"/>
      <c r="Q62" s="138">
        <f ca="1">IFERROR(__xludf.DUMMYFUNCTION("""COMPUTED_VALUE"""),2825693)</f>
        <v>2825693</v>
      </c>
      <c r="R62" s="138" t="str">
        <f ca="1">IFERROR(__xludf.DUMMYFUNCTION("""COMPUTED_VALUE"""),"Intermediate")</f>
        <v>Intermediate</v>
      </c>
      <c r="S62" s="139" t="str">
        <f ca="1">IFERROR(__xludf.DUMMYFUNCTION("""COMPUTED_VALUE"""),"Trello for Agile Teams")</f>
        <v>Trello for Agile Teams</v>
      </c>
      <c r="T62" s="141"/>
      <c r="U62" s="134"/>
      <c r="V62" s="134"/>
    </row>
    <row r="63" spans="1:22" ht="33.75" customHeight="1" x14ac:dyDescent="0.15">
      <c r="A63" s="134"/>
      <c r="B63" s="134"/>
      <c r="C63" s="138">
        <f ca="1">IFERROR(__xludf.DUMMYFUNCTION("""COMPUTED_VALUE"""),2805121)</f>
        <v>2805121</v>
      </c>
      <c r="D63" s="138" t="str">
        <f ca="1">IFERROR(__xludf.DUMMYFUNCTION("""COMPUTED_VALUE"""),"Intermediate")</f>
        <v>Intermediate</v>
      </c>
      <c r="E63" s="139" t="str">
        <f ca="1">IFERROR(__xludf.DUMMYFUNCTION("""COMPUTED_VALUE"""),"Evaluating Business Investment Decisions")</f>
        <v>Evaluating Business Investment Decisions</v>
      </c>
      <c r="F63" s="141"/>
      <c r="G63" s="134"/>
      <c r="H63" s="134"/>
      <c r="I63" s="134"/>
      <c r="J63" s="138"/>
      <c r="K63" s="138"/>
      <c r="L63" s="151"/>
      <c r="M63" s="152"/>
      <c r="N63" s="134"/>
      <c r="O63" s="134"/>
      <c r="P63" s="134"/>
      <c r="Q63" s="138">
        <f ca="1">IFERROR(__xludf.DUMMYFUNCTION("""COMPUTED_VALUE"""),2822664)</f>
        <v>2822664</v>
      </c>
      <c r="R63" s="138" t="str">
        <f ca="1">IFERROR(__xludf.DUMMYFUNCTION("""COMPUTED_VALUE"""),"Intermediate")</f>
        <v>Intermediate</v>
      </c>
      <c r="S63" s="139" t="str">
        <f ca="1">IFERROR(__xludf.DUMMYFUNCTION("""COMPUTED_VALUE"""),"Jira: Basic Administration")</f>
        <v>Jira: Basic Administration</v>
      </c>
      <c r="T63" s="141"/>
      <c r="U63" s="134"/>
      <c r="V63" s="134"/>
    </row>
    <row r="64" spans="1:22" ht="33.75" customHeight="1" x14ac:dyDescent="0.15">
      <c r="A64" s="134"/>
      <c r="B64" s="134"/>
      <c r="C64" s="138">
        <f ca="1">IFERROR(__xludf.DUMMYFUNCTION("""COMPUTED_VALUE"""),2816033)</f>
        <v>2816033</v>
      </c>
      <c r="D64" s="138" t="str">
        <f ca="1">IFERROR(__xludf.DUMMYFUNCTION("""COMPUTED_VALUE"""),"Intermediate")</f>
        <v>Intermediate</v>
      </c>
      <c r="E64" s="139" t="str">
        <f ca="1">IFERROR(__xludf.DUMMYFUNCTION("""COMPUTED_VALUE"""),"Managing Logistics")</f>
        <v>Managing Logistics</v>
      </c>
      <c r="F64" s="141"/>
      <c r="G64" s="134"/>
      <c r="H64" s="134"/>
      <c r="I64" s="134"/>
      <c r="J64" s="138"/>
      <c r="K64" s="138"/>
      <c r="L64" s="151"/>
      <c r="M64" s="152"/>
      <c r="N64" s="134"/>
      <c r="O64" s="134"/>
      <c r="P64" s="134"/>
      <c r="Q64" s="138"/>
      <c r="R64" s="138"/>
      <c r="S64" s="143"/>
      <c r="T64" s="141"/>
      <c r="U64" s="134"/>
      <c r="V64" s="134"/>
    </row>
    <row r="65" spans="1:22" ht="33.75" customHeight="1" x14ac:dyDescent="0.15">
      <c r="A65" s="134"/>
      <c r="B65" s="134"/>
      <c r="C65" s="138">
        <f ca="1">IFERROR(__xludf.DUMMYFUNCTION("""COMPUTED_VALUE"""),2819026)</f>
        <v>2819026</v>
      </c>
      <c r="D65" s="138" t="str">
        <f ca="1">IFERROR(__xludf.DUMMYFUNCTION("""COMPUTED_VALUE"""),"Intermediate")</f>
        <v>Intermediate</v>
      </c>
      <c r="E65" s="139" t="str">
        <f ca="1">IFERROR(__xludf.DUMMYFUNCTION("""COMPUTED_VALUE"""),"Skip-Level Meetings")</f>
        <v>Skip-Level Meetings</v>
      </c>
      <c r="F65" s="141"/>
      <c r="G65" s="134"/>
      <c r="H65" s="134"/>
      <c r="I65" s="134"/>
      <c r="J65" s="138"/>
      <c r="K65" s="138"/>
      <c r="L65" s="151"/>
      <c r="M65" s="152"/>
      <c r="N65" s="134"/>
      <c r="O65" s="134"/>
      <c r="P65" s="134"/>
      <c r="Q65" s="138"/>
      <c r="R65" s="138"/>
      <c r="S65" s="143"/>
      <c r="T65" s="141"/>
      <c r="U65" s="134"/>
      <c r="V65" s="134"/>
    </row>
    <row r="66" spans="1:22" ht="33.75" customHeight="1" x14ac:dyDescent="0.15">
      <c r="A66" s="134"/>
      <c r="B66" s="134"/>
      <c r="C66" s="138">
        <f ca="1">IFERROR(__xludf.DUMMYFUNCTION("""COMPUTED_VALUE"""),2823100)</f>
        <v>2823100</v>
      </c>
      <c r="D66" s="138" t="str">
        <f ca="1">IFERROR(__xludf.DUMMYFUNCTION("""COMPUTED_VALUE"""),"Intermediate")</f>
        <v>Intermediate</v>
      </c>
      <c r="E66" s="139" t="str">
        <f ca="1">IFERROR(__xludf.DUMMYFUNCTION("""COMPUTED_VALUE"""),"Excel: Implementing Balanced Scorecards with KPIs")</f>
        <v>Excel: Implementing Balanced Scorecards with KPIs</v>
      </c>
      <c r="F66" s="141"/>
      <c r="G66" s="134"/>
      <c r="H66" s="134"/>
      <c r="I66" s="134"/>
      <c r="J66" s="138"/>
      <c r="K66" s="138"/>
      <c r="L66" s="151"/>
      <c r="M66" s="152"/>
      <c r="N66" s="134"/>
      <c r="O66" s="134"/>
      <c r="P66" s="134"/>
      <c r="Q66" s="138"/>
      <c r="R66" s="138"/>
      <c r="S66" s="143"/>
      <c r="T66" s="141"/>
      <c r="U66" s="134"/>
      <c r="V66" s="134"/>
    </row>
    <row r="67" spans="1:22" ht="33.75" customHeight="1" x14ac:dyDescent="0.15">
      <c r="A67" s="134"/>
      <c r="B67" s="134"/>
      <c r="C67" s="138">
        <f ca="1">IFERROR(__xludf.DUMMYFUNCTION("""COMPUTED_VALUE"""),2813150)</f>
        <v>2813150</v>
      </c>
      <c r="D67" s="138" t="str">
        <f ca="1">IFERROR(__xludf.DUMMYFUNCTION("""COMPUTED_VALUE"""),"Intermediate")</f>
        <v>Intermediate</v>
      </c>
      <c r="E67" s="139" t="str">
        <f ca="1">IFERROR(__xludf.DUMMYFUNCTION("""COMPUTED_VALUE"""),"Agile Software Development: Clean Coding Practices")</f>
        <v>Agile Software Development: Clean Coding Practices</v>
      </c>
      <c r="F67" s="141"/>
      <c r="G67" s="134"/>
      <c r="H67" s="134"/>
      <c r="I67" s="134"/>
      <c r="J67" s="138"/>
      <c r="K67" s="138"/>
      <c r="L67" s="151"/>
      <c r="M67" s="152"/>
      <c r="N67" s="134"/>
      <c r="O67" s="134"/>
      <c r="P67" s="134"/>
      <c r="Q67" s="138"/>
      <c r="R67" s="138"/>
      <c r="S67" s="143"/>
      <c r="T67" s="141"/>
      <c r="U67" s="134"/>
      <c r="V67" s="134"/>
    </row>
    <row r="68" spans="1:22" ht="33.75" customHeight="1" x14ac:dyDescent="0.15">
      <c r="A68" s="144"/>
      <c r="B68" s="144"/>
      <c r="C68" s="145">
        <f ca="1">IFERROR(__xludf.DUMMYFUNCTION("""COMPUTED_VALUE"""),2825499)</f>
        <v>2825499</v>
      </c>
      <c r="D68" s="145" t="str">
        <f ca="1">IFERROR(__xludf.DUMMYFUNCTION("""COMPUTED_VALUE"""),"Intermediate")</f>
        <v>Intermediate</v>
      </c>
      <c r="E68" s="146" t="str">
        <f ca="1">IFERROR(__xludf.DUMMYFUNCTION("""COMPUTED_VALUE"""),"Predictive Analytics Essential Training for Executives")</f>
        <v>Predictive Analytics Essential Training for Executives</v>
      </c>
      <c r="F68" s="147"/>
      <c r="G68" s="144"/>
      <c r="H68" s="144"/>
      <c r="I68" s="144"/>
      <c r="J68" s="145"/>
      <c r="K68" s="145"/>
      <c r="L68" s="154"/>
      <c r="M68" s="155"/>
      <c r="N68" s="144"/>
      <c r="O68" s="144"/>
      <c r="P68" s="144"/>
      <c r="Q68" s="145"/>
      <c r="R68" s="145"/>
      <c r="S68" s="148"/>
      <c r="T68" s="147"/>
      <c r="U68" s="144"/>
      <c r="V68" s="144"/>
    </row>
    <row r="69" spans="1:22" ht="33.75" customHeight="1" x14ac:dyDescent="0.15">
      <c r="A69" s="144"/>
      <c r="B69" s="144"/>
      <c r="C69" s="145">
        <f ca="1">IFERROR(__xludf.DUMMYFUNCTION("""COMPUTED_VALUE"""),2824053)</f>
        <v>2824053</v>
      </c>
      <c r="D69" s="145" t="str">
        <f ca="1">IFERROR(__xludf.DUMMYFUNCTION("""COMPUTED_VALUE"""),"Intermediate")</f>
        <v>Intermediate</v>
      </c>
      <c r="E69" s="146" t="str">
        <f ca="1">IFERROR(__xludf.DUMMYFUNCTION("""COMPUTED_VALUE"""),"SAP Ariba Supply Chain Collaboration Overview")</f>
        <v>SAP Ariba Supply Chain Collaboration Overview</v>
      </c>
      <c r="F69" s="147"/>
      <c r="G69" s="144"/>
      <c r="H69" s="144"/>
      <c r="I69" s="144"/>
      <c r="J69" s="145"/>
      <c r="K69" s="145"/>
      <c r="L69" s="154"/>
      <c r="M69" s="155"/>
      <c r="N69" s="144"/>
      <c r="O69" s="144"/>
      <c r="P69" s="144"/>
      <c r="Q69" s="145"/>
      <c r="R69" s="145"/>
      <c r="S69" s="148"/>
      <c r="T69" s="147"/>
      <c r="U69" s="144"/>
      <c r="V69" s="144"/>
    </row>
    <row r="70" spans="1:22" ht="33.75" customHeight="1" x14ac:dyDescent="0.15">
      <c r="A70" s="144"/>
      <c r="B70" s="144"/>
      <c r="C70" s="145">
        <f ca="1">IFERROR(__xludf.DUMMYFUNCTION("""COMPUTED_VALUE"""),5019813)</f>
        <v>5019813</v>
      </c>
      <c r="D70" s="145" t="str">
        <f ca="1">IFERROR(__xludf.DUMMYFUNCTION("""COMPUTED_VALUE"""),"Intermediate")</f>
        <v>Intermediate</v>
      </c>
      <c r="E70" s="146" t="str">
        <f ca="1">IFERROR(__xludf.DUMMYFUNCTION("""COMPUTED_VALUE"""),"AI in Fintech Essential Training")</f>
        <v>AI in Fintech Essential Training</v>
      </c>
      <c r="F70" s="147"/>
      <c r="G70" s="144"/>
      <c r="H70" s="144"/>
      <c r="I70" s="144"/>
      <c r="J70" s="145"/>
      <c r="K70" s="145"/>
      <c r="L70" s="154"/>
      <c r="M70" s="155"/>
      <c r="N70" s="144"/>
      <c r="O70" s="144"/>
      <c r="P70" s="144"/>
      <c r="Q70" s="145"/>
      <c r="R70" s="145"/>
      <c r="S70" s="148"/>
      <c r="T70" s="147"/>
      <c r="U70" s="144"/>
      <c r="V70" s="144"/>
    </row>
    <row r="71" spans="1:22" ht="33.75" customHeight="1" x14ac:dyDescent="0.15">
      <c r="A71" s="144"/>
      <c r="B71" s="144"/>
      <c r="C71" s="145">
        <f ca="1">IFERROR(__xludf.DUMMYFUNCTION("""COMPUTED_VALUE"""),2832012)</f>
        <v>2832012</v>
      </c>
      <c r="D71" s="145" t="str">
        <f ca="1">IFERROR(__xludf.DUMMYFUNCTION("""COMPUTED_VALUE"""),"Intermediate")</f>
        <v>Intermediate</v>
      </c>
      <c r="E71" s="146" t="str">
        <f ca="1">IFERROR(__xludf.DUMMYFUNCTION("""COMPUTED_VALUE"""),"Introduction to SAP BI/BW")</f>
        <v>Introduction to SAP BI/BW</v>
      </c>
      <c r="F71" s="147"/>
      <c r="G71" s="144"/>
      <c r="H71" s="144"/>
      <c r="I71" s="144"/>
      <c r="J71" s="145"/>
      <c r="K71" s="145"/>
      <c r="L71" s="154"/>
      <c r="M71" s="155"/>
      <c r="N71" s="144"/>
      <c r="O71" s="144"/>
      <c r="P71" s="144"/>
      <c r="Q71" s="145"/>
      <c r="R71" s="145"/>
      <c r="S71" s="148"/>
      <c r="T71" s="147"/>
      <c r="U71" s="144"/>
      <c r="V71" s="144"/>
    </row>
    <row r="72" spans="1:22" ht="33.75" customHeight="1" x14ac:dyDescent="0.15">
      <c r="A72" s="144"/>
      <c r="B72" s="144"/>
      <c r="C72" s="145">
        <f ca="1">IFERROR(__xludf.DUMMYFUNCTION("""COMPUTED_VALUE"""),2832013)</f>
        <v>2832013</v>
      </c>
      <c r="D72" s="145" t="str">
        <f ca="1">IFERROR(__xludf.DUMMYFUNCTION("""COMPUTED_VALUE"""),"Intermediate")</f>
        <v>Intermediate</v>
      </c>
      <c r="E72" s="146" t="str">
        <f ca="1">IFERROR(__xludf.DUMMYFUNCTION("""COMPUTED_VALUE"""),"SAP BI/BW: Project Design and Implementation")</f>
        <v>SAP BI/BW: Project Design and Implementation</v>
      </c>
      <c r="F72" s="147"/>
      <c r="G72" s="144"/>
      <c r="H72" s="144"/>
      <c r="I72" s="144"/>
      <c r="J72" s="145"/>
      <c r="K72" s="145"/>
      <c r="L72" s="154"/>
      <c r="M72" s="155"/>
      <c r="N72" s="144"/>
      <c r="O72" s="144"/>
      <c r="P72" s="144"/>
      <c r="Q72" s="145"/>
      <c r="R72" s="145"/>
      <c r="S72" s="148"/>
      <c r="T72" s="147"/>
      <c r="U72" s="144"/>
      <c r="V72" s="144"/>
    </row>
    <row r="73" spans="1:22" ht="33.75" customHeight="1" x14ac:dyDescent="0.15">
      <c r="A73" s="144"/>
      <c r="B73" s="144"/>
      <c r="C73" s="145"/>
      <c r="D73" s="145"/>
      <c r="E73" s="148"/>
      <c r="F73" s="147"/>
      <c r="G73" s="144"/>
      <c r="H73" s="144"/>
      <c r="I73" s="144"/>
      <c r="J73" s="145"/>
      <c r="K73" s="145"/>
      <c r="L73" s="154"/>
      <c r="M73" s="155"/>
      <c r="N73" s="144"/>
      <c r="O73" s="144"/>
      <c r="P73" s="144"/>
      <c r="Q73" s="145"/>
      <c r="R73" s="145"/>
      <c r="S73" s="148"/>
      <c r="T73" s="147"/>
      <c r="U73" s="144"/>
      <c r="V73" s="144"/>
    </row>
    <row r="74" spans="1:22" ht="33.75" customHeight="1" x14ac:dyDescent="0.15">
      <c r="A74" s="144"/>
      <c r="B74" s="144"/>
      <c r="C74" s="145"/>
      <c r="D74" s="145"/>
      <c r="E74" s="148"/>
      <c r="F74" s="147"/>
      <c r="G74" s="144"/>
      <c r="H74" s="144"/>
      <c r="I74" s="144"/>
      <c r="J74" s="145"/>
      <c r="K74" s="145"/>
      <c r="L74" s="154"/>
      <c r="M74" s="155"/>
      <c r="N74" s="144"/>
      <c r="O74" s="144"/>
      <c r="P74" s="144"/>
      <c r="Q74" s="145"/>
      <c r="R74" s="145"/>
      <c r="S74" s="148"/>
      <c r="T74" s="147"/>
      <c r="U74" s="144"/>
      <c r="V74" s="144"/>
    </row>
    <row r="75" spans="1:22" ht="33.75" customHeight="1" x14ac:dyDescent="0.15">
      <c r="A75" s="144"/>
      <c r="B75" s="144"/>
      <c r="C75" s="145"/>
      <c r="D75" s="145"/>
      <c r="E75" s="148"/>
      <c r="F75" s="147"/>
      <c r="G75" s="144"/>
      <c r="H75" s="144"/>
      <c r="I75" s="144"/>
      <c r="J75" s="145"/>
      <c r="K75" s="145"/>
      <c r="L75" s="154"/>
      <c r="M75" s="155"/>
      <c r="N75" s="144"/>
      <c r="O75" s="144"/>
      <c r="P75" s="144"/>
      <c r="Q75" s="145"/>
      <c r="R75" s="145"/>
      <c r="S75" s="148"/>
      <c r="T75" s="147"/>
      <c r="U75" s="144"/>
      <c r="V75" s="144"/>
    </row>
    <row r="76" spans="1:22" ht="33.75" customHeight="1" x14ac:dyDescent="0.15">
      <c r="A76" s="144"/>
      <c r="B76" s="144"/>
      <c r="C76" s="145"/>
      <c r="D76" s="145"/>
      <c r="E76" s="148"/>
      <c r="F76" s="147"/>
      <c r="G76" s="144"/>
      <c r="H76" s="144"/>
      <c r="I76" s="144"/>
      <c r="J76" s="145"/>
      <c r="K76" s="145"/>
      <c r="L76" s="154"/>
      <c r="M76" s="155"/>
      <c r="N76" s="144"/>
      <c r="O76" s="144"/>
      <c r="P76" s="144"/>
      <c r="Q76" s="145"/>
      <c r="R76" s="145"/>
      <c r="S76" s="148"/>
      <c r="T76" s="147"/>
      <c r="U76" s="144"/>
      <c r="V76" s="144"/>
    </row>
    <row r="77" spans="1:22" ht="33.75" customHeight="1" x14ac:dyDescent="0.15">
      <c r="A77" s="144"/>
      <c r="B77" s="144"/>
      <c r="C77" s="145"/>
      <c r="D77" s="145"/>
      <c r="E77" s="148"/>
      <c r="F77" s="147"/>
      <c r="G77" s="144"/>
      <c r="H77" s="144"/>
      <c r="I77" s="144"/>
      <c r="J77" s="145"/>
      <c r="K77" s="145"/>
      <c r="L77" s="154"/>
      <c r="M77" s="155"/>
      <c r="N77" s="144"/>
      <c r="O77" s="144"/>
      <c r="P77" s="144"/>
      <c r="Q77" s="145"/>
      <c r="R77" s="145"/>
      <c r="S77" s="148"/>
      <c r="T77" s="147"/>
      <c r="U77" s="144"/>
      <c r="V77" s="144"/>
    </row>
    <row r="78" spans="1:22" ht="33.75" customHeight="1" x14ac:dyDescent="0.15">
      <c r="A78" s="144"/>
      <c r="B78" s="144"/>
      <c r="C78" s="145"/>
      <c r="D78" s="145"/>
      <c r="E78" s="148"/>
      <c r="F78" s="147"/>
      <c r="G78" s="144"/>
      <c r="H78" s="144"/>
      <c r="I78" s="144"/>
      <c r="J78" s="145"/>
      <c r="K78" s="145"/>
      <c r="L78" s="154"/>
      <c r="M78" s="155"/>
      <c r="N78" s="144"/>
      <c r="O78" s="144"/>
      <c r="P78" s="144"/>
      <c r="Q78" s="145"/>
      <c r="R78" s="145"/>
      <c r="S78" s="148"/>
      <c r="T78" s="147"/>
      <c r="U78" s="144"/>
      <c r="V78" s="144"/>
    </row>
    <row r="79" spans="1:22" ht="33.75" customHeight="1" x14ac:dyDescent="0.15">
      <c r="A79" s="144"/>
      <c r="B79" s="144"/>
      <c r="C79" s="145"/>
      <c r="D79" s="145"/>
      <c r="E79" s="148"/>
      <c r="F79" s="147"/>
      <c r="G79" s="144"/>
      <c r="H79" s="144"/>
      <c r="I79" s="144"/>
      <c r="J79" s="145"/>
      <c r="K79" s="145"/>
      <c r="L79" s="154"/>
      <c r="M79" s="155"/>
      <c r="N79" s="144"/>
      <c r="O79" s="144"/>
      <c r="P79" s="144"/>
      <c r="Q79" s="145"/>
      <c r="R79" s="145"/>
      <c r="S79" s="148"/>
      <c r="T79" s="147"/>
      <c r="U79" s="144"/>
      <c r="V79" s="144"/>
    </row>
    <row r="80" spans="1:22" ht="33.75" customHeight="1" x14ac:dyDescent="0.15">
      <c r="A80" s="144"/>
      <c r="B80" s="144"/>
      <c r="C80" s="145"/>
      <c r="D80" s="145"/>
      <c r="E80" s="148"/>
      <c r="F80" s="147"/>
      <c r="G80" s="144"/>
      <c r="H80" s="144"/>
      <c r="I80" s="144"/>
      <c r="J80" s="145"/>
      <c r="K80" s="145"/>
      <c r="L80" s="154"/>
      <c r="M80" s="155"/>
      <c r="N80" s="144"/>
      <c r="O80" s="144"/>
      <c r="P80" s="144"/>
      <c r="Q80" s="145"/>
      <c r="R80" s="145"/>
      <c r="S80" s="148"/>
      <c r="T80" s="147"/>
      <c r="U80" s="144"/>
      <c r="V80" s="144"/>
    </row>
    <row r="81" spans="1:22" ht="33.75" customHeight="1" x14ac:dyDescent="0.15">
      <c r="A81" s="144"/>
      <c r="B81" s="144"/>
      <c r="C81" s="145"/>
      <c r="D81" s="145"/>
      <c r="E81" s="148"/>
      <c r="F81" s="147"/>
      <c r="G81" s="144"/>
      <c r="H81" s="144"/>
      <c r="I81" s="144"/>
      <c r="J81" s="145"/>
      <c r="K81" s="145"/>
      <c r="L81" s="154"/>
      <c r="M81" s="155"/>
      <c r="N81" s="144"/>
      <c r="O81" s="144"/>
      <c r="P81" s="144"/>
      <c r="Q81" s="145"/>
      <c r="R81" s="145"/>
      <c r="S81" s="148"/>
      <c r="T81" s="147"/>
      <c r="U81" s="144"/>
      <c r="V81" s="144"/>
    </row>
    <row r="82" spans="1:22" ht="33.75" customHeight="1" x14ac:dyDescent="0.15">
      <c r="A82" s="144"/>
      <c r="B82" s="144"/>
      <c r="C82" s="145"/>
      <c r="D82" s="145"/>
      <c r="E82" s="148"/>
      <c r="F82" s="147"/>
      <c r="G82" s="144"/>
      <c r="H82" s="144"/>
      <c r="I82" s="144"/>
      <c r="J82" s="145"/>
      <c r="K82" s="145"/>
      <c r="L82" s="154"/>
      <c r="M82" s="155"/>
      <c r="N82" s="144"/>
      <c r="O82" s="144"/>
      <c r="P82" s="144"/>
      <c r="Q82" s="145"/>
      <c r="R82" s="145"/>
      <c r="S82" s="148"/>
      <c r="T82" s="147"/>
      <c r="U82" s="144"/>
      <c r="V82" s="144"/>
    </row>
    <row r="83" spans="1:22" ht="33.75" customHeight="1" x14ac:dyDescent="0.15">
      <c r="A83" s="144"/>
      <c r="B83" s="144"/>
      <c r="C83" s="145"/>
      <c r="D83" s="145"/>
      <c r="E83" s="148"/>
      <c r="F83" s="147"/>
      <c r="G83" s="144"/>
      <c r="H83" s="144"/>
      <c r="I83" s="144"/>
      <c r="J83" s="145"/>
      <c r="K83" s="145"/>
      <c r="L83" s="154"/>
      <c r="M83" s="155"/>
      <c r="N83" s="144"/>
      <c r="O83" s="144"/>
      <c r="P83" s="144"/>
      <c r="Q83" s="145"/>
      <c r="R83" s="145"/>
      <c r="S83" s="148"/>
      <c r="T83" s="147"/>
      <c r="U83" s="144"/>
      <c r="V83" s="144"/>
    </row>
    <row r="84" spans="1:22" ht="33.75" customHeight="1" x14ac:dyDescent="0.15">
      <c r="A84" s="144"/>
      <c r="B84" s="144"/>
      <c r="C84" s="145"/>
      <c r="D84" s="145"/>
      <c r="E84" s="148"/>
      <c r="F84" s="147"/>
      <c r="G84" s="144"/>
      <c r="H84" s="144"/>
      <c r="I84" s="144"/>
      <c r="J84" s="145"/>
      <c r="K84" s="145"/>
      <c r="L84" s="154"/>
      <c r="M84" s="155"/>
      <c r="N84" s="144"/>
      <c r="O84" s="144"/>
      <c r="P84" s="144"/>
      <c r="Q84" s="145"/>
      <c r="R84" s="145"/>
      <c r="S84" s="148"/>
      <c r="T84" s="147"/>
      <c r="U84" s="144"/>
      <c r="V84" s="144"/>
    </row>
    <row r="85" spans="1:22" ht="33.75" customHeight="1" x14ac:dyDescent="0.15">
      <c r="A85" s="144"/>
      <c r="B85" s="144"/>
      <c r="C85" s="145"/>
      <c r="D85" s="145"/>
      <c r="E85" s="148"/>
      <c r="F85" s="147"/>
      <c r="G85" s="144"/>
      <c r="H85" s="144"/>
      <c r="I85" s="144"/>
      <c r="J85" s="145"/>
      <c r="K85" s="145"/>
      <c r="L85" s="154"/>
      <c r="M85" s="155"/>
      <c r="N85" s="144"/>
      <c r="O85" s="144"/>
      <c r="P85" s="144"/>
      <c r="Q85" s="145"/>
      <c r="R85" s="145"/>
      <c r="S85" s="148"/>
      <c r="T85" s="147"/>
      <c r="U85" s="144"/>
      <c r="V85" s="144"/>
    </row>
    <row r="86" spans="1:22" ht="33.75" customHeight="1" x14ac:dyDescent="0.15">
      <c r="A86" s="144"/>
      <c r="B86" s="144"/>
      <c r="C86" s="145"/>
      <c r="D86" s="145"/>
      <c r="E86" s="148"/>
      <c r="F86" s="147"/>
      <c r="G86" s="144"/>
      <c r="H86" s="144"/>
      <c r="I86" s="144"/>
      <c r="J86" s="145"/>
      <c r="K86" s="145"/>
      <c r="L86" s="154"/>
      <c r="M86" s="155"/>
      <c r="N86" s="144"/>
      <c r="O86" s="144"/>
      <c r="P86" s="144"/>
      <c r="Q86" s="145"/>
      <c r="R86" s="145"/>
      <c r="S86" s="148"/>
      <c r="T86" s="147"/>
      <c r="U86" s="144"/>
      <c r="V86" s="144"/>
    </row>
    <row r="87" spans="1:22" ht="33.75" customHeight="1" x14ac:dyDescent="0.15">
      <c r="A87" s="144"/>
      <c r="B87" s="144"/>
      <c r="C87" s="145"/>
      <c r="D87" s="145"/>
      <c r="E87" s="148"/>
      <c r="F87" s="147"/>
      <c r="G87" s="144"/>
      <c r="H87" s="144"/>
      <c r="I87" s="144"/>
      <c r="J87" s="145"/>
      <c r="K87" s="145"/>
      <c r="L87" s="154"/>
      <c r="M87" s="155"/>
      <c r="N87" s="144"/>
      <c r="O87" s="144"/>
      <c r="P87" s="144"/>
      <c r="Q87" s="145"/>
      <c r="R87" s="145"/>
      <c r="S87" s="148"/>
      <c r="T87" s="147"/>
      <c r="U87" s="144"/>
      <c r="V87" s="144"/>
    </row>
    <row r="88" spans="1:22" ht="33.75" customHeight="1" x14ac:dyDescent="0.15">
      <c r="A88" s="144"/>
      <c r="B88" s="144"/>
      <c r="C88" s="145"/>
      <c r="D88" s="145"/>
      <c r="E88" s="148"/>
      <c r="F88" s="147"/>
      <c r="G88" s="144"/>
      <c r="H88" s="144"/>
      <c r="I88" s="144"/>
      <c r="J88" s="145"/>
      <c r="K88" s="145"/>
      <c r="L88" s="154"/>
      <c r="M88" s="155"/>
      <c r="N88" s="144"/>
      <c r="O88" s="144"/>
      <c r="P88" s="144"/>
      <c r="Q88" s="145"/>
      <c r="R88" s="145"/>
      <c r="S88" s="148"/>
      <c r="T88" s="147"/>
      <c r="U88" s="144"/>
      <c r="V88" s="144"/>
    </row>
    <row r="89" spans="1:22" ht="33.75" customHeight="1" x14ac:dyDescent="0.15">
      <c r="A89" s="144"/>
      <c r="B89" s="144"/>
      <c r="C89" s="145"/>
      <c r="D89" s="145"/>
      <c r="E89" s="148"/>
      <c r="F89" s="147"/>
      <c r="G89" s="144"/>
      <c r="H89" s="144"/>
      <c r="I89" s="144"/>
      <c r="J89" s="145"/>
      <c r="K89" s="145"/>
      <c r="L89" s="154"/>
      <c r="M89" s="155"/>
      <c r="N89" s="144"/>
      <c r="O89" s="144"/>
      <c r="P89" s="144"/>
      <c r="Q89" s="145"/>
      <c r="R89" s="145"/>
      <c r="S89" s="148"/>
      <c r="T89" s="147"/>
      <c r="U89" s="144"/>
      <c r="V89" s="144"/>
    </row>
    <row r="90" spans="1:22" ht="33.75" customHeight="1" x14ac:dyDescent="0.15">
      <c r="A90" s="144"/>
      <c r="B90" s="144"/>
      <c r="C90" s="145"/>
      <c r="D90" s="145"/>
      <c r="E90" s="148"/>
      <c r="F90" s="147"/>
      <c r="G90" s="144"/>
      <c r="H90" s="144"/>
      <c r="I90" s="144"/>
      <c r="J90" s="145"/>
      <c r="K90" s="145"/>
      <c r="L90" s="154"/>
      <c r="M90" s="155"/>
      <c r="N90" s="144"/>
      <c r="O90" s="144"/>
      <c r="P90" s="144"/>
      <c r="Q90" s="145"/>
      <c r="R90" s="145"/>
      <c r="S90" s="148"/>
      <c r="T90" s="147"/>
      <c r="U90" s="144"/>
      <c r="V90" s="144"/>
    </row>
    <row r="91" spans="1:22" ht="33.75" customHeight="1" x14ac:dyDescent="0.15">
      <c r="A91" s="144"/>
      <c r="B91" s="144"/>
      <c r="C91" s="145"/>
      <c r="D91" s="145"/>
      <c r="E91" s="148"/>
      <c r="F91" s="147"/>
      <c r="G91" s="144"/>
      <c r="H91" s="144"/>
      <c r="I91" s="144"/>
      <c r="J91" s="145"/>
      <c r="K91" s="145"/>
      <c r="L91" s="154"/>
      <c r="M91" s="155"/>
      <c r="N91" s="144"/>
      <c r="O91" s="144"/>
      <c r="P91" s="144"/>
      <c r="Q91" s="145"/>
      <c r="R91" s="145"/>
      <c r="S91" s="148"/>
      <c r="T91" s="147"/>
      <c r="U91" s="144"/>
      <c r="V91" s="144"/>
    </row>
    <row r="92" spans="1:22" ht="33.75" customHeight="1" x14ac:dyDescent="0.15">
      <c r="A92" s="144"/>
      <c r="B92" s="144"/>
      <c r="C92" s="145"/>
      <c r="D92" s="145"/>
      <c r="E92" s="148"/>
      <c r="F92" s="147"/>
      <c r="G92" s="144"/>
      <c r="H92" s="144"/>
      <c r="I92" s="144"/>
      <c r="J92" s="145"/>
      <c r="K92" s="145"/>
      <c r="L92" s="154"/>
      <c r="M92" s="155"/>
      <c r="N92" s="144"/>
      <c r="O92" s="144"/>
      <c r="P92" s="144"/>
      <c r="Q92" s="145"/>
      <c r="R92" s="145"/>
      <c r="S92" s="148"/>
      <c r="T92" s="147"/>
      <c r="U92" s="144"/>
      <c r="V92" s="144"/>
    </row>
    <row r="93" spans="1:22" ht="33.75" customHeight="1" x14ac:dyDescent="0.15">
      <c r="A93" s="144"/>
      <c r="B93" s="144"/>
      <c r="C93" s="145"/>
      <c r="D93" s="145"/>
      <c r="E93" s="148"/>
      <c r="F93" s="147"/>
      <c r="G93" s="144"/>
      <c r="H93" s="144"/>
      <c r="I93" s="144"/>
      <c r="J93" s="145"/>
      <c r="K93" s="145"/>
      <c r="L93" s="154"/>
      <c r="M93" s="155"/>
      <c r="N93" s="144"/>
      <c r="O93" s="144"/>
      <c r="P93" s="144"/>
      <c r="Q93" s="145"/>
      <c r="R93" s="145"/>
      <c r="S93" s="148"/>
      <c r="T93" s="147"/>
      <c r="U93" s="144"/>
      <c r="V93" s="144"/>
    </row>
    <row r="94" spans="1:22" ht="33.75" customHeight="1" x14ac:dyDescent="0.15">
      <c r="A94" s="144"/>
      <c r="B94" s="144"/>
      <c r="C94" s="145"/>
      <c r="D94" s="145"/>
      <c r="E94" s="148"/>
      <c r="F94" s="147"/>
      <c r="G94" s="144"/>
      <c r="H94" s="144"/>
      <c r="I94" s="144"/>
      <c r="J94" s="145"/>
      <c r="K94" s="145"/>
      <c r="L94" s="154"/>
      <c r="M94" s="155"/>
      <c r="N94" s="144"/>
      <c r="O94" s="144"/>
      <c r="P94" s="144"/>
      <c r="Q94" s="145"/>
      <c r="R94" s="145"/>
      <c r="S94" s="148"/>
      <c r="T94" s="147"/>
      <c r="U94" s="144"/>
      <c r="V94" s="144"/>
    </row>
    <row r="95" spans="1:22" ht="33.75" customHeight="1" x14ac:dyDescent="0.15">
      <c r="A95" s="144"/>
      <c r="B95" s="144"/>
      <c r="C95" s="145"/>
      <c r="D95" s="145"/>
      <c r="E95" s="148"/>
      <c r="F95" s="147"/>
      <c r="G95" s="144"/>
      <c r="H95" s="144"/>
      <c r="I95" s="144"/>
      <c r="J95" s="145"/>
      <c r="K95" s="145"/>
      <c r="L95" s="154"/>
      <c r="M95" s="155"/>
      <c r="N95" s="144"/>
      <c r="O95" s="144"/>
      <c r="P95" s="144"/>
      <c r="Q95" s="145"/>
      <c r="R95" s="145"/>
      <c r="S95" s="148"/>
      <c r="T95" s="147"/>
      <c r="U95" s="144"/>
      <c r="V95" s="144"/>
    </row>
    <row r="96" spans="1:22" ht="33.75" customHeight="1" x14ac:dyDescent="0.15">
      <c r="A96" s="144"/>
      <c r="B96" s="144"/>
      <c r="C96" s="145"/>
      <c r="D96" s="145"/>
      <c r="E96" s="148"/>
      <c r="F96" s="147"/>
      <c r="G96" s="144"/>
      <c r="H96" s="144"/>
      <c r="I96" s="144"/>
      <c r="J96" s="145"/>
      <c r="K96" s="145"/>
      <c r="L96" s="154"/>
      <c r="M96" s="155"/>
      <c r="N96" s="144"/>
      <c r="O96" s="144"/>
      <c r="P96" s="144"/>
      <c r="Q96" s="145"/>
      <c r="R96" s="145"/>
      <c r="S96" s="148"/>
      <c r="T96" s="147"/>
      <c r="U96" s="144"/>
      <c r="V96" s="144"/>
    </row>
    <row r="97" spans="1:22" ht="33.75" customHeight="1" x14ac:dyDescent="0.15">
      <c r="A97" s="144"/>
      <c r="B97" s="144"/>
      <c r="C97" s="145"/>
      <c r="D97" s="145"/>
      <c r="E97" s="148"/>
      <c r="F97" s="147"/>
      <c r="G97" s="144"/>
      <c r="H97" s="144"/>
      <c r="I97" s="144"/>
      <c r="J97" s="145"/>
      <c r="K97" s="145"/>
      <c r="L97" s="154"/>
      <c r="M97" s="155"/>
      <c r="N97" s="144"/>
      <c r="O97" s="144"/>
      <c r="P97" s="144"/>
      <c r="Q97" s="145"/>
      <c r="R97" s="145"/>
      <c r="S97" s="148"/>
      <c r="T97" s="147"/>
      <c r="U97" s="144"/>
      <c r="V97" s="144"/>
    </row>
    <row r="98" spans="1:22" ht="33.75" customHeight="1" x14ac:dyDescent="0.15">
      <c r="A98" s="144"/>
      <c r="B98" s="144"/>
      <c r="C98" s="145"/>
      <c r="D98" s="145"/>
      <c r="E98" s="148"/>
      <c r="F98" s="147"/>
      <c r="G98" s="144"/>
      <c r="H98" s="144"/>
      <c r="I98" s="144"/>
      <c r="J98" s="145"/>
      <c r="K98" s="145"/>
      <c r="L98" s="154"/>
      <c r="M98" s="155"/>
      <c r="N98" s="144"/>
      <c r="O98" s="144"/>
      <c r="P98" s="144"/>
      <c r="Q98" s="145"/>
      <c r="R98" s="145"/>
      <c r="S98" s="148"/>
      <c r="T98" s="147"/>
      <c r="U98" s="144"/>
      <c r="V98" s="144"/>
    </row>
    <row r="99" spans="1:22" ht="33.75" customHeight="1" x14ac:dyDescent="0.15">
      <c r="A99" s="144"/>
      <c r="B99" s="144"/>
      <c r="C99" s="145"/>
      <c r="D99" s="145"/>
      <c r="E99" s="148"/>
      <c r="F99" s="147"/>
      <c r="G99" s="144"/>
      <c r="H99" s="144"/>
      <c r="I99" s="144"/>
      <c r="J99" s="145"/>
      <c r="K99" s="145"/>
      <c r="L99" s="154"/>
      <c r="M99" s="155"/>
      <c r="N99" s="144"/>
      <c r="O99" s="144"/>
      <c r="P99" s="144"/>
      <c r="Q99" s="145"/>
      <c r="R99" s="145"/>
      <c r="S99" s="148"/>
      <c r="T99" s="147"/>
      <c r="U99" s="144"/>
      <c r="V99" s="144"/>
    </row>
    <row r="100" spans="1:22" ht="33.75" customHeight="1" x14ac:dyDescent="0.15">
      <c r="A100" s="144"/>
      <c r="B100" s="144"/>
      <c r="C100" s="145"/>
      <c r="D100" s="145"/>
      <c r="E100" s="148"/>
      <c r="F100" s="147"/>
      <c r="G100" s="144"/>
      <c r="H100" s="144"/>
      <c r="I100" s="144"/>
      <c r="J100" s="145"/>
      <c r="K100" s="145"/>
      <c r="L100" s="154"/>
      <c r="M100" s="155"/>
      <c r="N100" s="144"/>
      <c r="O100" s="144"/>
      <c r="P100" s="144"/>
      <c r="Q100" s="145"/>
      <c r="R100" s="145"/>
      <c r="S100" s="148"/>
      <c r="T100" s="147"/>
      <c r="U100" s="144"/>
      <c r="V100" s="144"/>
    </row>
    <row r="101" spans="1:22" ht="33.75" customHeight="1" x14ac:dyDescent="0.15">
      <c r="A101" s="144"/>
      <c r="B101" s="144"/>
      <c r="C101" s="145"/>
      <c r="D101" s="145"/>
      <c r="E101" s="148"/>
      <c r="F101" s="147"/>
      <c r="G101" s="144"/>
      <c r="H101" s="144"/>
      <c r="I101" s="144"/>
      <c r="J101" s="145"/>
      <c r="K101" s="145"/>
      <c r="L101" s="154"/>
      <c r="M101" s="155"/>
      <c r="N101" s="144"/>
      <c r="O101" s="144"/>
      <c r="P101" s="144"/>
      <c r="Q101" s="145"/>
      <c r="R101" s="145"/>
      <c r="S101" s="148"/>
      <c r="T101" s="147"/>
      <c r="U101" s="144"/>
      <c r="V101" s="144"/>
    </row>
    <row r="102" spans="1:22" ht="33.75" customHeight="1" x14ac:dyDescent="0.15">
      <c r="A102" s="144"/>
      <c r="B102" s="144"/>
      <c r="C102" s="145"/>
      <c r="D102" s="145"/>
      <c r="E102" s="148"/>
      <c r="F102" s="147"/>
      <c r="G102" s="144"/>
      <c r="H102" s="144"/>
      <c r="I102" s="144"/>
      <c r="J102" s="145"/>
      <c r="K102" s="145"/>
      <c r="L102" s="154"/>
      <c r="M102" s="155"/>
      <c r="N102" s="144"/>
      <c r="O102" s="144"/>
      <c r="P102" s="144"/>
      <c r="Q102" s="145"/>
      <c r="R102" s="145"/>
      <c r="S102" s="148"/>
      <c r="T102" s="147"/>
      <c r="U102" s="144"/>
      <c r="V102" s="144"/>
    </row>
    <row r="103" spans="1:22" ht="33.75" customHeight="1" x14ac:dyDescent="0.15">
      <c r="A103" s="144"/>
      <c r="B103" s="144"/>
      <c r="C103" s="145"/>
      <c r="D103" s="145"/>
      <c r="E103" s="148"/>
      <c r="F103" s="147"/>
      <c r="G103" s="144"/>
      <c r="H103" s="144"/>
      <c r="I103" s="144"/>
      <c r="J103" s="145"/>
      <c r="K103" s="145"/>
      <c r="L103" s="154"/>
      <c r="M103" s="155"/>
      <c r="N103" s="144"/>
      <c r="O103" s="144"/>
      <c r="P103" s="144"/>
      <c r="Q103" s="145"/>
      <c r="R103" s="145"/>
      <c r="S103" s="148"/>
      <c r="T103" s="147"/>
      <c r="U103" s="144"/>
      <c r="V103" s="144"/>
    </row>
    <row r="104" spans="1:22" ht="33.75" customHeight="1" x14ac:dyDescent="0.15">
      <c r="A104" s="144"/>
      <c r="B104" s="144"/>
      <c r="C104" s="145"/>
      <c r="D104" s="145"/>
      <c r="E104" s="148"/>
      <c r="F104" s="147"/>
      <c r="G104" s="144"/>
      <c r="H104" s="144"/>
      <c r="I104" s="144"/>
      <c r="J104" s="145"/>
      <c r="K104" s="145"/>
      <c r="L104" s="154"/>
      <c r="M104" s="155"/>
      <c r="N104" s="144"/>
      <c r="O104" s="144"/>
      <c r="P104" s="144"/>
      <c r="Q104" s="145"/>
      <c r="R104" s="145"/>
      <c r="S104" s="148"/>
      <c r="T104" s="147"/>
      <c r="U104" s="144"/>
      <c r="V104" s="144"/>
    </row>
    <row r="105" spans="1:22" ht="33.75" customHeight="1" x14ac:dyDescent="0.15">
      <c r="A105" s="144"/>
      <c r="B105" s="144"/>
      <c r="C105" s="145"/>
      <c r="D105" s="145"/>
      <c r="E105" s="148"/>
      <c r="F105" s="147"/>
      <c r="G105" s="144"/>
      <c r="H105" s="144"/>
      <c r="I105" s="144"/>
      <c r="J105" s="145"/>
      <c r="K105" s="145"/>
      <c r="L105" s="154"/>
      <c r="M105" s="155"/>
      <c r="N105" s="144"/>
      <c r="O105" s="144"/>
      <c r="P105" s="144"/>
      <c r="Q105" s="145"/>
      <c r="R105" s="145"/>
      <c r="S105" s="148"/>
      <c r="T105" s="147"/>
      <c r="U105" s="144"/>
      <c r="V105" s="144"/>
    </row>
    <row r="106" spans="1:22" ht="33.75" customHeight="1" x14ac:dyDescent="0.15">
      <c r="A106" s="144"/>
      <c r="B106" s="144"/>
      <c r="C106" s="145"/>
      <c r="D106" s="145"/>
      <c r="E106" s="148"/>
      <c r="F106" s="147"/>
      <c r="G106" s="144"/>
      <c r="H106" s="144"/>
      <c r="I106" s="144"/>
      <c r="J106" s="145"/>
      <c r="K106" s="145"/>
      <c r="L106" s="154"/>
      <c r="M106" s="155"/>
      <c r="N106" s="144"/>
      <c r="O106" s="144"/>
      <c r="P106" s="144"/>
      <c r="Q106" s="145"/>
      <c r="R106" s="145"/>
      <c r="S106" s="148"/>
      <c r="T106" s="147"/>
      <c r="U106" s="144"/>
      <c r="V106" s="144"/>
    </row>
    <row r="107" spans="1:22" ht="33.75" customHeight="1" x14ac:dyDescent="0.15">
      <c r="A107" s="144"/>
      <c r="B107" s="144"/>
      <c r="C107" s="145"/>
      <c r="D107" s="145"/>
      <c r="E107" s="148"/>
      <c r="F107" s="147"/>
      <c r="G107" s="144"/>
      <c r="H107" s="144"/>
      <c r="I107" s="144"/>
      <c r="J107" s="145"/>
      <c r="K107" s="145"/>
      <c r="L107" s="154"/>
      <c r="M107" s="155"/>
      <c r="N107" s="144"/>
      <c r="O107" s="144"/>
      <c r="P107" s="144"/>
      <c r="Q107" s="145"/>
      <c r="R107" s="145"/>
      <c r="S107" s="148"/>
      <c r="T107" s="147"/>
      <c r="U107" s="144"/>
      <c r="V107" s="144"/>
    </row>
    <row r="108" spans="1:22" ht="33.75" customHeight="1" x14ac:dyDescent="0.15">
      <c r="A108" s="144"/>
      <c r="B108" s="144"/>
      <c r="C108" s="145"/>
      <c r="D108" s="145"/>
      <c r="E108" s="148"/>
      <c r="F108" s="147"/>
      <c r="G108" s="144"/>
      <c r="H108" s="144"/>
      <c r="I108" s="144"/>
      <c r="J108" s="145"/>
      <c r="K108" s="145"/>
      <c r="L108" s="154"/>
      <c r="M108" s="155"/>
      <c r="N108" s="144"/>
      <c r="O108" s="144"/>
      <c r="P108" s="144"/>
      <c r="Q108" s="145"/>
      <c r="R108" s="145"/>
      <c r="S108" s="148"/>
      <c r="T108" s="147"/>
      <c r="U108" s="144"/>
      <c r="V108" s="144"/>
    </row>
    <row r="109" spans="1:22" ht="33.75" customHeight="1" x14ac:dyDescent="0.15">
      <c r="A109" s="144"/>
      <c r="B109" s="144"/>
      <c r="C109" s="145"/>
      <c r="D109" s="145"/>
      <c r="E109" s="148"/>
      <c r="F109" s="147"/>
      <c r="G109" s="144"/>
      <c r="H109" s="144"/>
      <c r="I109" s="144"/>
      <c r="J109" s="145"/>
      <c r="K109" s="145"/>
      <c r="L109" s="154"/>
      <c r="M109" s="155"/>
      <c r="N109" s="144"/>
      <c r="O109" s="144"/>
      <c r="P109" s="144"/>
      <c r="Q109" s="145"/>
      <c r="R109" s="145"/>
      <c r="S109" s="148"/>
      <c r="T109" s="147"/>
      <c r="U109" s="144"/>
      <c r="V109" s="144"/>
    </row>
    <row r="110" spans="1:22" ht="33.75" customHeight="1" x14ac:dyDescent="0.15">
      <c r="A110" s="144"/>
      <c r="B110" s="144"/>
      <c r="C110" s="145"/>
      <c r="D110" s="145"/>
      <c r="E110" s="148"/>
      <c r="F110" s="147"/>
      <c r="G110" s="144"/>
      <c r="H110" s="144"/>
      <c r="I110" s="144"/>
      <c r="J110" s="145"/>
      <c r="K110" s="145"/>
      <c r="L110" s="154"/>
      <c r="M110" s="155"/>
      <c r="N110" s="144"/>
      <c r="O110" s="144"/>
      <c r="P110" s="144"/>
      <c r="Q110" s="145"/>
      <c r="R110" s="145"/>
      <c r="S110" s="148"/>
      <c r="T110" s="147"/>
      <c r="U110" s="144"/>
      <c r="V110" s="144"/>
    </row>
    <row r="111" spans="1:22" ht="33.75" customHeight="1" x14ac:dyDescent="0.15">
      <c r="A111" s="144"/>
      <c r="B111" s="144"/>
      <c r="C111" s="145"/>
      <c r="D111" s="145"/>
      <c r="E111" s="148"/>
      <c r="F111" s="147"/>
      <c r="G111" s="144"/>
      <c r="H111" s="144"/>
      <c r="I111" s="144"/>
      <c r="J111" s="145"/>
      <c r="K111" s="145"/>
      <c r="L111" s="154"/>
      <c r="M111" s="155"/>
      <c r="N111" s="144"/>
      <c r="O111" s="144"/>
      <c r="P111" s="144"/>
      <c r="Q111" s="145"/>
      <c r="R111" s="145"/>
      <c r="S111" s="148"/>
      <c r="T111" s="147"/>
      <c r="U111" s="144"/>
      <c r="V111" s="144"/>
    </row>
    <row r="112" spans="1:22" ht="33.75" customHeight="1" x14ac:dyDescent="0.15">
      <c r="A112" s="144"/>
      <c r="B112" s="144"/>
      <c r="C112" s="145"/>
      <c r="D112" s="145"/>
      <c r="E112" s="148"/>
      <c r="F112" s="147"/>
      <c r="G112" s="144"/>
      <c r="H112" s="144"/>
      <c r="I112" s="144"/>
      <c r="J112" s="145"/>
      <c r="K112" s="145"/>
      <c r="L112" s="154"/>
      <c r="M112" s="155"/>
      <c r="N112" s="144"/>
      <c r="O112" s="144"/>
      <c r="P112" s="144"/>
      <c r="Q112" s="145"/>
      <c r="R112" s="145"/>
      <c r="S112" s="148"/>
      <c r="T112" s="147"/>
      <c r="U112" s="144"/>
      <c r="V112" s="144"/>
    </row>
    <row r="113" spans="1:22" ht="33.75" customHeight="1" x14ac:dyDescent="0.15">
      <c r="A113" s="144"/>
      <c r="B113" s="144"/>
      <c r="C113" s="145"/>
      <c r="D113" s="145"/>
      <c r="E113" s="148"/>
      <c r="F113" s="147"/>
      <c r="G113" s="144"/>
      <c r="H113" s="144"/>
      <c r="I113" s="144"/>
      <c r="J113" s="145"/>
      <c r="K113" s="145"/>
      <c r="L113" s="154"/>
      <c r="M113" s="155"/>
      <c r="N113" s="144"/>
      <c r="O113" s="144"/>
      <c r="P113" s="144"/>
      <c r="Q113" s="145"/>
      <c r="R113" s="145"/>
      <c r="S113" s="148"/>
      <c r="T113" s="147"/>
      <c r="U113" s="144"/>
      <c r="V113" s="144"/>
    </row>
    <row r="114" spans="1:22" ht="33.75" customHeight="1" x14ac:dyDescent="0.15">
      <c r="A114" s="144"/>
      <c r="B114" s="144"/>
      <c r="C114" s="145"/>
      <c r="D114" s="145"/>
      <c r="E114" s="148"/>
      <c r="F114" s="147"/>
      <c r="G114" s="144"/>
      <c r="H114" s="144"/>
      <c r="I114" s="144"/>
      <c r="J114" s="145"/>
      <c r="K114" s="145"/>
      <c r="L114" s="154"/>
      <c r="M114" s="155"/>
      <c r="N114" s="144"/>
      <c r="O114" s="144"/>
      <c r="P114" s="144"/>
      <c r="Q114" s="145"/>
      <c r="R114" s="145"/>
      <c r="S114" s="148"/>
      <c r="T114" s="147"/>
      <c r="U114" s="144"/>
      <c r="V114" s="144"/>
    </row>
    <row r="115" spans="1:22" ht="33.75" customHeight="1" x14ac:dyDescent="0.15">
      <c r="A115" s="144"/>
      <c r="B115" s="144"/>
      <c r="C115" s="145"/>
      <c r="D115" s="145"/>
      <c r="E115" s="148"/>
      <c r="F115" s="147"/>
      <c r="G115" s="144"/>
      <c r="H115" s="144"/>
      <c r="I115" s="144"/>
      <c r="J115" s="145"/>
      <c r="K115" s="145"/>
      <c r="L115" s="154"/>
      <c r="M115" s="155"/>
      <c r="N115" s="144"/>
      <c r="O115" s="144"/>
      <c r="P115" s="144"/>
      <c r="Q115" s="145"/>
      <c r="R115" s="145"/>
      <c r="S115" s="148"/>
      <c r="T115" s="147"/>
      <c r="U115" s="144"/>
      <c r="V115" s="144"/>
    </row>
    <row r="116" spans="1:22" ht="33.75" customHeight="1" x14ac:dyDescent="0.15">
      <c r="A116" s="144"/>
      <c r="B116" s="144"/>
      <c r="C116" s="145"/>
      <c r="D116" s="145"/>
      <c r="E116" s="148"/>
      <c r="F116" s="147"/>
      <c r="G116" s="144"/>
      <c r="H116" s="144"/>
      <c r="I116" s="144"/>
      <c r="J116" s="145"/>
      <c r="K116" s="145"/>
      <c r="L116" s="154"/>
      <c r="M116" s="155"/>
      <c r="N116" s="144"/>
      <c r="O116" s="144"/>
      <c r="P116" s="144"/>
      <c r="Q116" s="145"/>
      <c r="R116" s="145"/>
      <c r="S116" s="148"/>
      <c r="T116" s="147"/>
      <c r="U116" s="144"/>
      <c r="V116" s="144"/>
    </row>
    <row r="117" spans="1:22" ht="33.75" customHeight="1" x14ac:dyDescent="0.15">
      <c r="A117" s="144"/>
      <c r="B117" s="144"/>
      <c r="C117" s="145"/>
      <c r="D117" s="145"/>
      <c r="E117" s="148"/>
      <c r="F117" s="147"/>
      <c r="G117" s="144"/>
      <c r="H117" s="144"/>
      <c r="I117" s="144"/>
      <c r="J117" s="145"/>
      <c r="K117" s="145"/>
      <c r="L117" s="154"/>
      <c r="M117" s="155"/>
      <c r="N117" s="144"/>
      <c r="O117" s="144"/>
      <c r="P117" s="144"/>
      <c r="Q117" s="145"/>
      <c r="R117" s="145"/>
      <c r="S117" s="148"/>
      <c r="T117" s="147"/>
      <c r="U117" s="144"/>
      <c r="V117" s="144"/>
    </row>
    <row r="118" spans="1:22" ht="33.75" customHeight="1" x14ac:dyDescent="0.15">
      <c r="A118" s="144"/>
      <c r="B118" s="144"/>
      <c r="C118" s="145"/>
      <c r="D118" s="145"/>
      <c r="E118" s="148"/>
      <c r="F118" s="147"/>
      <c r="G118" s="144"/>
      <c r="H118" s="144"/>
      <c r="I118" s="144"/>
      <c r="J118" s="145"/>
      <c r="K118" s="145"/>
      <c r="L118" s="154"/>
      <c r="M118" s="155"/>
      <c r="N118" s="144"/>
      <c r="O118" s="144"/>
      <c r="P118" s="144"/>
      <c r="Q118" s="145"/>
      <c r="R118" s="145"/>
      <c r="S118" s="148"/>
      <c r="T118" s="147"/>
      <c r="U118" s="144"/>
      <c r="V118" s="144"/>
    </row>
    <row r="119" spans="1:22" ht="33.75" customHeight="1" x14ac:dyDescent="0.15">
      <c r="A119" s="144"/>
      <c r="B119" s="144"/>
      <c r="C119" s="145"/>
      <c r="D119" s="145"/>
      <c r="E119" s="148"/>
      <c r="F119" s="147"/>
      <c r="G119" s="144"/>
      <c r="H119" s="144"/>
      <c r="I119" s="144"/>
      <c r="J119" s="145"/>
      <c r="K119" s="145"/>
      <c r="L119" s="154"/>
      <c r="M119" s="155"/>
      <c r="N119" s="144"/>
      <c r="O119" s="144"/>
      <c r="P119" s="144"/>
      <c r="Q119" s="145"/>
      <c r="R119" s="145"/>
      <c r="S119" s="148"/>
      <c r="T119" s="147"/>
      <c r="U119" s="144"/>
      <c r="V119" s="144"/>
    </row>
    <row r="120" spans="1:22" ht="33.75" customHeight="1" x14ac:dyDescent="0.15">
      <c r="A120" s="144"/>
      <c r="B120" s="144"/>
      <c r="C120" s="145"/>
      <c r="D120" s="145"/>
      <c r="E120" s="148"/>
      <c r="F120" s="147"/>
      <c r="G120" s="144"/>
      <c r="H120" s="144"/>
      <c r="I120" s="144"/>
      <c r="J120" s="145"/>
      <c r="K120" s="145"/>
      <c r="L120" s="154"/>
      <c r="M120" s="155"/>
      <c r="N120" s="144"/>
      <c r="O120" s="144"/>
      <c r="P120" s="144"/>
      <c r="Q120" s="145"/>
      <c r="R120" s="145"/>
      <c r="S120" s="148"/>
      <c r="T120" s="147"/>
      <c r="U120" s="144"/>
      <c r="V120" s="144"/>
    </row>
    <row r="121" spans="1:22" ht="33.75" customHeight="1" x14ac:dyDescent="0.15">
      <c r="A121" s="144"/>
      <c r="B121" s="144"/>
      <c r="C121" s="145"/>
      <c r="D121" s="145"/>
      <c r="E121" s="148"/>
      <c r="F121" s="147"/>
      <c r="G121" s="144"/>
      <c r="H121" s="144"/>
      <c r="I121" s="144"/>
      <c r="J121" s="145"/>
      <c r="K121" s="145"/>
      <c r="L121" s="154"/>
      <c r="M121" s="155"/>
      <c r="N121" s="144"/>
      <c r="O121" s="144"/>
      <c r="P121" s="144"/>
      <c r="Q121" s="145"/>
      <c r="R121" s="145"/>
      <c r="S121" s="148"/>
      <c r="T121" s="147"/>
      <c r="U121" s="144"/>
      <c r="V121" s="144"/>
    </row>
    <row r="122" spans="1:22" ht="33.75" customHeight="1" x14ac:dyDescent="0.15">
      <c r="A122" s="144"/>
      <c r="B122" s="144"/>
      <c r="C122" s="145"/>
      <c r="D122" s="145"/>
      <c r="E122" s="148"/>
      <c r="F122" s="147"/>
      <c r="G122" s="144"/>
      <c r="H122" s="144"/>
      <c r="I122" s="144"/>
      <c r="J122" s="145"/>
      <c r="K122" s="145"/>
      <c r="L122" s="154"/>
      <c r="M122" s="155"/>
      <c r="N122" s="144"/>
      <c r="O122" s="144"/>
      <c r="P122" s="144"/>
      <c r="Q122" s="145"/>
      <c r="R122" s="145"/>
      <c r="S122" s="148"/>
      <c r="T122" s="147"/>
      <c r="U122" s="144"/>
      <c r="V122" s="144"/>
    </row>
    <row r="123" spans="1:22" ht="33.75" customHeight="1" x14ac:dyDescent="0.15">
      <c r="A123" s="144"/>
      <c r="B123" s="144"/>
      <c r="C123" s="145"/>
      <c r="D123" s="145"/>
      <c r="E123" s="148"/>
      <c r="F123" s="147"/>
      <c r="G123" s="144"/>
      <c r="H123" s="144"/>
      <c r="I123" s="144"/>
      <c r="J123" s="145"/>
      <c r="K123" s="145"/>
      <c r="L123" s="154"/>
      <c r="M123" s="155"/>
      <c r="N123" s="144"/>
      <c r="O123" s="144"/>
      <c r="P123" s="144"/>
      <c r="Q123" s="145"/>
      <c r="R123" s="145"/>
      <c r="S123" s="148"/>
      <c r="T123" s="147"/>
      <c r="U123" s="144"/>
      <c r="V123" s="144"/>
    </row>
    <row r="124" spans="1:22" ht="33.75" customHeight="1" x14ac:dyDescent="0.15">
      <c r="A124" s="144"/>
      <c r="B124" s="144"/>
      <c r="C124" s="145"/>
      <c r="D124" s="145"/>
      <c r="E124" s="148"/>
      <c r="F124" s="147"/>
      <c r="G124" s="144"/>
      <c r="H124" s="144"/>
      <c r="I124" s="144"/>
      <c r="J124" s="145"/>
      <c r="K124" s="145"/>
      <c r="L124" s="154"/>
      <c r="M124" s="155"/>
      <c r="N124" s="144"/>
      <c r="O124" s="144"/>
      <c r="P124" s="144"/>
      <c r="Q124" s="145"/>
      <c r="R124" s="145"/>
      <c r="S124" s="148"/>
      <c r="T124" s="147"/>
      <c r="U124" s="144"/>
      <c r="V124" s="144"/>
    </row>
    <row r="125" spans="1:22" ht="33.75" customHeight="1" x14ac:dyDescent="0.15">
      <c r="A125" s="144"/>
      <c r="B125" s="144"/>
      <c r="C125" s="145"/>
      <c r="D125" s="145"/>
      <c r="E125" s="148"/>
      <c r="F125" s="147"/>
      <c r="G125" s="144"/>
      <c r="H125" s="144"/>
      <c r="I125" s="144"/>
      <c r="J125" s="145"/>
      <c r="K125" s="145"/>
      <c r="L125" s="154"/>
      <c r="M125" s="155"/>
      <c r="N125" s="144"/>
      <c r="O125" s="144"/>
      <c r="P125" s="144"/>
      <c r="Q125" s="145"/>
      <c r="R125" s="145"/>
      <c r="S125" s="148"/>
      <c r="T125" s="147"/>
      <c r="U125" s="144"/>
      <c r="V125" s="144"/>
    </row>
    <row r="126" spans="1:22" ht="33.75" customHeight="1" x14ac:dyDescent="0.15">
      <c r="A126" s="144"/>
      <c r="B126" s="144"/>
      <c r="C126" s="145"/>
      <c r="D126" s="145"/>
      <c r="E126" s="148"/>
      <c r="F126" s="147"/>
      <c r="G126" s="144"/>
      <c r="H126" s="144"/>
      <c r="I126" s="144"/>
      <c r="J126" s="145"/>
      <c r="K126" s="145"/>
      <c r="L126" s="154"/>
      <c r="M126" s="155"/>
      <c r="N126" s="144"/>
      <c r="O126" s="144"/>
      <c r="P126" s="144"/>
      <c r="Q126" s="145"/>
      <c r="R126" s="145"/>
      <c r="S126" s="148"/>
      <c r="T126" s="147"/>
      <c r="U126" s="144"/>
      <c r="V126" s="144"/>
    </row>
    <row r="127" spans="1:22" ht="33.75" customHeight="1" x14ac:dyDescent="0.15">
      <c r="A127" s="144"/>
      <c r="B127" s="144"/>
      <c r="C127" s="145"/>
      <c r="D127" s="145"/>
      <c r="E127" s="148"/>
      <c r="F127" s="147"/>
      <c r="G127" s="144"/>
      <c r="H127" s="144"/>
      <c r="I127" s="144"/>
      <c r="J127" s="145"/>
      <c r="K127" s="145"/>
      <c r="L127" s="154"/>
      <c r="M127" s="155"/>
      <c r="N127" s="144"/>
      <c r="O127" s="144"/>
      <c r="P127" s="144"/>
      <c r="Q127" s="145"/>
      <c r="R127" s="145"/>
      <c r="S127" s="148"/>
      <c r="T127" s="147"/>
      <c r="U127" s="144"/>
      <c r="V127" s="144"/>
    </row>
    <row r="128" spans="1:22" ht="33.75" customHeight="1" x14ac:dyDescent="0.15">
      <c r="A128" s="144"/>
      <c r="B128" s="144"/>
      <c r="C128" s="145"/>
      <c r="D128" s="145"/>
      <c r="E128" s="148"/>
      <c r="F128" s="147"/>
      <c r="G128" s="144"/>
      <c r="H128" s="144"/>
      <c r="I128" s="144"/>
      <c r="J128" s="145"/>
      <c r="K128" s="145"/>
      <c r="L128" s="154"/>
      <c r="M128" s="155"/>
      <c r="N128" s="144"/>
      <c r="O128" s="144"/>
      <c r="P128" s="144"/>
      <c r="Q128" s="145"/>
      <c r="R128" s="145"/>
      <c r="S128" s="148"/>
      <c r="T128" s="147"/>
      <c r="U128" s="144"/>
      <c r="V128" s="144"/>
    </row>
    <row r="129" spans="1:22" ht="33.75" customHeight="1" x14ac:dyDescent="0.15">
      <c r="A129" s="144"/>
      <c r="B129" s="144"/>
      <c r="C129" s="145"/>
      <c r="D129" s="145"/>
      <c r="E129" s="148"/>
      <c r="F129" s="147"/>
      <c r="G129" s="144"/>
      <c r="H129" s="144"/>
      <c r="I129" s="144"/>
      <c r="J129" s="145"/>
      <c r="K129" s="145"/>
      <c r="L129" s="154"/>
      <c r="M129" s="155"/>
      <c r="N129" s="144"/>
      <c r="O129" s="144"/>
      <c r="P129" s="144"/>
      <c r="Q129" s="145"/>
      <c r="R129" s="145"/>
      <c r="S129" s="148"/>
      <c r="T129" s="147"/>
      <c r="U129" s="144"/>
      <c r="V129" s="144"/>
    </row>
    <row r="130" spans="1:22" ht="33.75" customHeight="1" x14ac:dyDescent="0.15">
      <c r="A130" s="144"/>
      <c r="B130" s="144"/>
      <c r="C130" s="145"/>
      <c r="D130" s="145"/>
      <c r="E130" s="148"/>
      <c r="F130" s="147"/>
      <c r="G130" s="144"/>
      <c r="H130" s="144"/>
      <c r="I130" s="144"/>
      <c r="J130" s="145"/>
      <c r="K130" s="145"/>
      <c r="L130" s="154"/>
      <c r="M130" s="155"/>
      <c r="N130" s="144"/>
      <c r="O130" s="144"/>
      <c r="P130" s="144"/>
      <c r="Q130" s="145"/>
      <c r="R130" s="145"/>
      <c r="S130" s="148"/>
      <c r="T130" s="147"/>
      <c r="U130" s="144"/>
      <c r="V130" s="144"/>
    </row>
    <row r="131" spans="1:22" ht="33.75" customHeight="1" x14ac:dyDescent="0.15">
      <c r="A131" s="144"/>
      <c r="B131" s="144"/>
      <c r="C131" s="145"/>
      <c r="D131" s="145"/>
      <c r="E131" s="148"/>
      <c r="F131" s="147"/>
      <c r="G131" s="144"/>
      <c r="H131" s="144"/>
      <c r="I131" s="144"/>
      <c r="J131" s="145"/>
      <c r="K131" s="145"/>
      <c r="L131" s="154"/>
      <c r="M131" s="155"/>
      <c r="N131" s="144"/>
      <c r="O131" s="144"/>
      <c r="P131" s="144"/>
      <c r="Q131" s="145"/>
      <c r="R131" s="145"/>
      <c r="S131" s="148"/>
      <c r="T131" s="147"/>
      <c r="U131" s="144"/>
      <c r="V131" s="144"/>
    </row>
    <row r="132" spans="1:22" ht="33.75" customHeight="1" x14ac:dyDescent="0.15">
      <c r="A132" s="144"/>
      <c r="B132" s="144"/>
      <c r="C132" s="145"/>
      <c r="D132" s="145"/>
      <c r="E132" s="148"/>
      <c r="F132" s="147"/>
      <c r="G132" s="144"/>
      <c r="H132" s="144"/>
      <c r="I132" s="144"/>
      <c r="J132" s="145"/>
      <c r="K132" s="145"/>
      <c r="L132" s="154"/>
      <c r="M132" s="155"/>
      <c r="N132" s="144"/>
      <c r="O132" s="144"/>
      <c r="P132" s="144"/>
      <c r="Q132" s="145"/>
      <c r="R132" s="145"/>
      <c r="S132" s="148"/>
      <c r="T132" s="147"/>
      <c r="U132" s="144"/>
      <c r="V132" s="144"/>
    </row>
    <row r="133" spans="1:22" ht="33.75" customHeight="1" x14ac:dyDescent="0.15">
      <c r="A133" s="144"/>
      <c r="B133" s="144"/>
      <c r="C133" s="145"/>
      <c r="D133" s="145"/>
      <c r="E133" s="148"/>
      <c r="F133" s="147"/>
      <c r="G133" s="144"/>
      <c r="H133" s="144"/>
      <c r="I133" s="144"/>
      <c r="J133" s="145"/>
      <c r="K133" s="145"/>
      <c r="L133" s="154"/>
      <c r="M133" s="155"/>
      <c r="N133" s="144"/>
      <c r="O133" s="144"/>
      <c r="P133" s="144"/>
      <c r="Q133" s="145"/>
      <c r="R133" s="145"/>
      <c r="S133" s="148"/>
      <c r="T133" s="147"/>
      <c r="U133" s="144"/>
      <c r="V133" s="144"/>
    </row>
    <row r="134" spans="1:22" ht="33.75" customHeight="1" x14ac:dyDescent="0.15">
      <c r="A134" s="144"/>
      <c r="B134" s="144"/>
      <c r="C134" s="145"/>
      <c r="D134" s="145"/>
      <c r="E134" s="148"/>
      <c r="F134" s="147"/>
      <c r="G134" s="144"/>
      <c r="H134" s="144"/>
      <c r="I134" s="144"/>
      <c r="J134" s="145"/>
      <c r="K134" s="145"/>
      <c r="L134" s="154"/>
      <c r="M134" s="155"/>
      <c r="N134" s="144"/>
      <c r="O134" s="144"/>
      <c r="P134" s="144"/>
      <c r="Q134" s="145"/>
      <c r="R134" s="145"/>
      <c r="S134" s="148"/>
      <c r="T134" s="147"/>
      <c r="U134" s="144"/>
      <c r="V134" s="144"/>
    </row>
    <row r="135" spans="1:22" ht="33.75" customHeight="1" x14ac:dyDescent="0.15">
      <c r="A135" s="144"/>
      <c r="B135" s="144"/>
      <c r="C135" s="145"/>
      <c r="D135" s="145"/>
      <c r="E135" s="148"/>
      <c r="F135" s="147"/>
      <c r="G135" s="144"/>
      <c r="H135" s="144"/>
      <c r="I135" s="144"/>
      <c r="J135" s="145"/>
      <c r="K135" s="145"/>
      <c r="L135" s="154"/>
      <c r="M135" s="155"/>
      <c r="N135" s="144"/>
      <c r="O135" s="144"/>
      <c r="P135" s="144"/>
      <c r="Q135" s="145"/>
      <c r="R135" s="145"/>
      <c r="S135" s="148"/>
      <c r="T135" s="147"/>
      <c r="U135" s="144"/>
      <c r="V135" s="144"/>
    </row>
    <row r="136" spans="1:22" ht="33.75" customHeight="1" x14ac:dyDescent="0.15">
      <c r="A136" s="144"/>
      <c r="B136" s="144"/>
      <c r="C136" s="145"/>
      <c r="D136" s="145"/>
      <c r="E136" s="148"/>
      <c r="F136" s="147"/>
      <c r="G136" s="144"/>
      <c r="H136" s="144"/>
      <c r="I136" s="144"/>
      <c r="J136" s="145"/>
      <c r="K136" s="145"/>
      <c r="L136" s="154"/>
      <c r="M136" s="155"/>
      <c r="N136" s="144"/>
      <c r="O136" s="144"/>
      <c r="P136" s="144"/>
      <c r="Q136" s="145"/>
      <c r="R136" s="145"/>
      <c r="S136" s="148"/>
      <c r="T136" s="147"/>
      <c r="U136" s="144"/>
      <c r="V136" s="144"/>
    </row>
    <row r="137" spans="1:22" ht="33.75" customHeight="1" x14ac:dyDescent="0.15">
      <c r="A137" s="144"/>
      <c r="B137" s="144"/>
      <c r="C137" s="145"/>
      <c r="D137" s="145"/>
      <c r="E137" s="148"/>
      <c r="F137" s="147"/>
      <c r="G137" s="144"/>
      <c r="H137" s="144"/>
      <c r="I137" s="144"/>
      <c r="J137" s="145"/>
      <c r="K137" s="145"/>
      <c r="L137" s="154"/>
      <c r="M137" s="155"/>
      <c r="N137" s="144"/>
      <c r="O137" s="144"/>
      <c r="P137" s="144"/>
      <c r="Q137" s="145"/>
      <c r="R137" s="145"/>
      <c r="S137" s="148"/>
      <c r="T137" s="147"/>
      <c r="U137" s="144"/>
      <c r="V137" s="144"/>
    </row>
    <row r="138" spans="1:22" ht="33.75" customHeight="1" x14ac:dyDescent="0.15">
      <c r="A138" s="144"/>
      <c r="B138" s="144"/>
      <c r="C138" s="145"/>
      <c r="D138" s="145"/>
      <c r="E138" s="148"/>
      <c r="F138" s="147"/>
      <c r="G138" s="144"/>
      <c r="H138" s="144"/>
      <c r="I138" s="144"/>
      <c r="J138" s="145"/>
      <c r="K138" s="145"/>
      <c r="L138" s="154"/>
      <c r="M138" s="155"/>
      <c r="N138" s="144"/>
      <c r="O138" s="144"/>
      <c r="P138" s="144"/>
      <c r="Q138" s="145"/>
      <c r="R138" s="145"/>
      <c r="S138" s="148"/>
      <c r="T138" s="147"/>
      <c r="U138" s="144"/>
      <c r="V138" s="144"/>
    </row>
    <row r="139" spans="1:22" ht="33.75" customHeight="1" x14ac:dyDescent="0.15">
      <c r="A139" s="144"/>
      <c r="B139" s="144"/>
      <c r="C139" s="145"/>
      <c r="D139" s="145"/>
      <c r="E139" s="148"/>
      <c r="F139" s="147"/>
      <c r="G139" s="144"/>
      <c r="H139" s="144"/>
      <c r="I139" s="144"/>
      <c r="J139" s="145"/>
      <c r="K139" s="145"/>
      <c r="L139" s="154"/>
      <c r="M139" s="155"/>
      <c r="N139" s="144"/>
      <c r="O139" s="144"/>
      <c r="P139" s="144"/>
      <c r="Q139" s="145"/>
      <c r="R139" s="145"/>
      <c r="S139" s="148"/>
      <c r="T139" s="147"/>
      <c r="U139" s="144"/>
      <c r="V139" s="144"/>
    </row>
    <row r="140" spans="1:22" ht="33.75" customHeight="1" x14ac:dyDescent="0.15">
      <c r="A140" s="144"/>
      <c r="B140" s="144"/>
      <c r="C140" s="145"/>
      <c r="D140" s="145"/>
      <c r="E140" s="148"/>
      <c r="F140" s="147"/>
      <c r="G140" s="144"/>
      <c r="H140" s="144"/>
      <c r="I140" s="144"/>
      <c r="J140" s="145"/>
      <c r="K140" s="145"/>
      <c r="L140" s="154"/>
      <c r="M140" s="155"/>
      <c r="N140" s="144"/>
      <c r="O140" s="144"/>
      <c r="P140" s="144"/>
      <c r="Q140" s="145"/>
      <c r="R140" s="145"/>
      <c r="S140" s="148"/>
      <c r="T140" s="147"/>
      <c r="U140" s="144"/>
      <c r="V140" s="144"/>
    </row>
    <row r="141" spans="1:22" ht="33.75" customHeight="1" x14ac:dyDescent="0.15">
      <c r="A141" s="144"/>
      <c r="B141" s="144"/>
      <c r="C141" s="145"/>
      <c r="D141" s="145"/>
      <c r="E141" s="148"/>
      <c r="F141" s="147"/>
      <c r="G141" s="144"/>
      <c r="H141" s="144"/>
      <c r="I141" s="144"/>
      <c r="J141" s="145"/>
      <c r="K141" s="145"/>
      <c r="L141" s="154"/>
      <c r="M141" s="155"/>
      <c r="N141" s="144"/>
      <c r="O141" s="144"/>
      <c r="P141" s="144"/>
      <c r="Q141" s="145"/>
      <c r="R141" s="145"/>
      <c r="S141" s="148"/>
      <c r="T141" s="147"/>
      <c r="U141" s="144"/>
      <c r="V141" s="144"/>
    </row>
    <row r="142" spans="1:22" ht="33.75" customHeight="1" x14ac:dyDescent="0.15">
      <c r="A142" s="144"/>
      <c r="B142" s="144"/>
      <c r="C142" s="145"/>
      <c r="D142" s="145"/>
      <c r="E142" s="148"/>
      <c r="F142" s="147"/>
      <c r="G142" s="144"/>
      <c r="H142" s="144"/>
      <c r="I142" s="144"/>
      <c r="J142" s="145"/>
      <c r="K142" s="145"/>
      <c r="L142" s="154"/>
      <c r="M142" s="155"/>
      <c r="N142" s="144"/>
      <c r="O142" s="144"/>
      <c r="P142" s="144"/>
      <c r="Q142" s="145"/>
      <c r="R142" s="145"/>
      <c r="S142" s="148"/>
      <c r="T142" s="147"/>
      <c r="U142" s="144"/>
      <c r="V142" s="144"/>
    </row>
    <row r="143" spans="1:22" ht="33.75" customHeight="1" x14ac:dyDescent="0.15">
      <c r="A143" s="144"/>
      <c r="B143" s="144"/>
      <c r="C143" s="145"/>
      <c r="D143" s="145"/>
      <c r="E143" s="148"/>
      <c r="F143" s="147"/>
      <c r="G143" s="144"/>
      <c r="H143" s="144"/>
      <c r="I143" s="144"/>
      <c r="J143" s="145"/>
      <c r="K143" s="145"/>
      <c r="L143" s="154"/>
      <c r="M143" s="155"/>
      <c r="N143" s="144"/>
      <c r="O143" s="144"/>
      <c r="P143" s="144"/>
      <c r="Q143" s="145"/>
      <c r="R143" s="145"/>
      <c r="S143" s="148"/>
      <c r="T143" s="147"/>
      <c r="U143" s="144"/>
      <c r="V143" s="144"/>
    </row>
    <row r="144" spans="1:22" ht="33.75" customHeight="1" x14ac:dyDescent="0.15">
      <c r="A144" s="144"/>
      <c r="B144" s="144"/>
      <c r="C144" s="145"/>
      <c r="D144" s="145"/>
      <c r="E144" s="148"/>
      <c r="F144" s="147"/>
      <c r="G144" s="144"/>
      <c r="H144" s="144"/>
      <c r="I144" s="144"/>
      <c r="J144" s="145"/>
      <c r="K144" s="145"/>
      <c r="L144" s="154"/>
      <c r="M144" s="155"/>
      <c r="N144" s="144"/>
      <c r="O144" s="144"/>
      <c r="P144" s="144"/>
      <c r="Q144" s="145"/>
      <c r="R144" s="145"/>
      <c r="S144" s="148"/>
      <c r="T144" s="147"/>
      <c r="U144" s="144"/>
      <c r="V144" s="144"/>
    </row>
    <row r="145" spans="1:22" ht="33.75" customHeight="1" x14ac:dyDescent="0.15">
      <c r="A145" s="144"/>
      <c r="B145" s="144"/>
      <c r="C145" s="145"/>
      <c r="D145" s="145"/>
      <c r="E145" s="148"/>
      <c r="F145" s="147"/>
      <c r="G145" s="144"/>
      <c r="H145" s="144"/>
      <c r="I145" s="144"/>
      <c r="J145" s="145"/>
      <c r="K145" s="145"/>
      <c r="L145" s="154"/>
      <c r="M145" s="155"/>
      <c r="N145" s="144"/>
      <c r="O145" s="144"/>
      <c r="P145" s="144"/>
      <c r="Q145" s="145"/>
      <c r="R145" s="145"/>
      <c r="S145" s="148"/>
      <c r="T145" s="147"/>
      <c r="U145" s="144"/>
      <c r="V145" s="144"/>
    </row>
    <row r="146" spans="1:22" ht="33.75" customHeight="1" x14ac:dyDescent="0.15">
      <c r="A146" s="144"/>
      <c r="B146" s="144"/>
      <c r="C146" s="145"/>
      <c r="D146" s="145"/>
      <c r="E146" s="148"/>
      <c r="F146" s="147"/>
      <c r="G146" s="144"/>
      <c r="H146" s="144"/>
      <c r="I146" s="144"/>
      <c r="J146" s="145"/>
      <c r="K146" s="145"/>
      <c r="L146" s="154"/>
      <c r="M146" s="155"/>
      <c r="N146" s="144"/>
      <c r="O146" s="144"/>
      <c r="P146" s="144"/>
      <c r="Q146" s="145"/>
      <c r="R146" s="145"/>
      <c r="S146" s="148"/>
      <c r="T146" s="147"/>
      <c r="U146" s="144"/>
      <c r="V146" s="144"/>
    </row>
    <row r="147" spans="1:22" ht="33.75" customHeight="1" x14ac:dyDescent="0.15">
      <c r="A147" s="144"/>
      <c r="B147" s="144"/>
      <c r="C147" s="145"/>
      <c r="D147" s="145"/>
      <c r="E147" s="148"/>
      <c r="F147" s="147"/>
      <c r="G147" s="144"/>
      <c r="H147" s="144"/>
      <c r="I147" s="144"/>
      <c r="J147" s="145"/>
      <c r="K147" s="145"/>
      <c r="L147" s="154"/>
      <c r="M147" s="155"/>
      <c r="N147" s="144"/>
      <c r="O147" s="144"/>
      <c r="P147" s="144"/>
      <c r="Q147" s="145"/>
      <c r="R147" s="145"/>
      <c r="S147" s="148"/>
      <c r="T147" s="147"/>
      <c r="U147" s="144"/>
      <c r="V147" s="144"/>
    </row>
    <row r="148" spans="1:22" ht="33.75" customHeight="1" x14ac:dyDescent="0.15">
      <c r="A148" s="144"/>
      <c r="B148" s="144"/>
      <c r="C148" s="145"/>
      <c r="D148" s="145"/>
      <c r="E148" s="148"/>
      <c r="F148" s="147"/>
      <c r="G148" s="144"/>
      <c r="H148" s="144"/>
      <c r="I148" s="144"/>
      <c r="J148" s="145"/>
      <c r="K148" s="145"/>
      <c r="L148" s="154"/>
      <c r="M148" s="155"/>
      <c r="N148" s="144"/>
      <c r="O148" s="144"/>
      <c r="P148" s="144"/>
      <c r="Q148" s="145"/>
      <c r="R148" s="145"/>
      <c r="S148" s="148"/>
      <c r="T148" s="147"/>
      <c r="U148" s="144"/>
      <c r="V148" s="144"/>
    </row>
    <row r="149" spans="1:22" ht="33.75" customHeight="1" x14ac:dyDescent="0.15">
      <c r="A149" s="144"/>
      <c r="B149" s="144"/>
      <c r="C149" s="145"/>
      <c r="D149" s="145"/>
      <c r="E149" s="148"/>
      <c r="F149" s="147"/>
      <c r="G149" s="144"/>
      <c r="H149" s="144"/>
      <c r="I149" s="144"/>
      <c r="J149" s="145"/>
      <c r="K149" s="145"/>
      <c r="L149" s="154"/>
      <c r="M149" s="155"/>
      <c r="N149" s="144"/>
      <c r="O149" s="144"/>
      <c r="P149" s="144"/>
      <c r="Q149" s="145"/>
      <c r="R149" s="145"/>
      <c r="S149" s="148"/>
      <c r="T149" s="147"/>
      <c r="U149" s="144"/>
      <c r="V149" s="144"/>
    </row>
    <row r="150" spans="1:22" ht="33.75" customHeight="1" x14ac:dyDescent="0.15">
      <c r="A150" s="144"/>
      <c r="B150" s="144"/>
      <c r="C150" s="145"/>
      <c r="D150" s="145"/>
      <c r="E150" s="148"/>
      <c r="F150" s="147"/>
      <c r="G150" s="144"/>
      <c r="H150" s="144"/>
      <c r="I150" s="144"/>
      <c r="J150" s="145"/>
      <c r="K150" s="145"/>
      <c r="L150" s="154"/>
      <c r="M150" s="155"/>
      <c r="N150" s="144"/>
      <c r="O150" s="144"/>
      <c r="P150" s="144"/>
      <c r="Q150" s="145"/>
      <c r="R150" s="145"/>
      <c r="S150" s="148"/>
      <c r="T150" s="147"/>
      <c r="U150" s="144"/>
      <c r="V150" s="144"/>
    </row>
    <row r="151" spans="1:22" ht="33.75" customHeight="1" x14ac:dyDescent="0.15">
      <c r="A151" s="144"/>
      <c r="B151" s="144"/>
      <c r="C151" s="145"/>
      <c r="D151" s="145"/>
      <c r="E151" s="148"/>
      <c r="F151" s="147"/>
      <c r="G151" s="144"/>
      <c r="H151" s="144"/>
      <c r="I151" s="144"/>
      <c r="J151" s="145"/>
      <c r="K151" s="145"/>
      <c r="L151" s="154"/>
      <c r="M151" s="155"/>
      <c r="N151" s="144"/>
      <c r="O151" s="144"/>
      <c r="P151" s="144"/>
      <c r="Q151" s="145"/>
      <c r="R151" s="145"/>
      <c r="S151" s="148"/>
      <c r="T151" s="147"/>
      <c r="U151" s="144"/>
      <c r="V151" s="144"/>
    </row>
    <row r="152" spans="1:22" ht="33.75" customHeight="1" x14ac:dyDescent="0.15">
      <c r="A152" s="144"/>
      <c r="B152" s="144"/>
      <c r="C152" s="145"/>
      <c r="D152" s="145"/>
      <c r="E152" s="148"/>
      <c r="F152" s="147"/>
      <c r="G152" s="144"/>
      <c r="H152" s="144"/>
      <c r="I152" s="144"/>
      <c r="J152" s="145"/>
      <c r="K152" s="145"/>
      <c r="L152" s="154"/>
      <c r="M152" s="155"/>
      <c r="N152" s="144"/>
      <c r="O152" s="144"/>
      <c r="P152" s="144"/>
      <c r="Q152" s="145"/>
      <c r="R152" s="145"/>
      <c r="S152" s="148"/>
      <c r="T152" s="147"/>
      <c r="U152" s="144"/>
      <c r="V152" s="144"/>
    </row>
    <row r="153" spans="1:22" ht="33.75" customHeight="1" x14ac:dyDescent="0.15">
      <c r="A153" s="144"/>
      <c r="B153" s="144"/>
      <c r="C153" s="145"/>
      <c r="D153" s="145"/>
      <c r="E153" s="148"/>
      <c r="F153" s="147"/>
      <c r="G153" s="144"/>
      <c r="H153" s="144"/>
      <c r="I153" s="144"/>
      <c r="J153" s="145"/>
      <c r="K153" s="145"/>
      <c r="L153" s="154"/>
      <c r="M153" s="155"/>
      <c r="N153" s="144"/>
      <c r="O153" s="144"/>
      <c r="P153" s="144"/>
      <c r="Q153" s="145"/>
      <c r="R153" s="145"/>
      <c r="S153" s="148"/>
      <c r="T153" s="147"/>
      <c r="U153" s="144"/>
      <c r="V153" s="144"/>
    </row>
    <row r="154" spans="1:22" ht="33.75" customHeight="1" x14ac:dyDescent="0.15">
      <c r="A154" s="144"/>
      <c r="B154" s="144"/>
      <c r="C154" s="145"/>
      <c r="D154" s="145"/>
      <c r="E154" s="148"/>
      <c r="F154" s="147"/>
      <c r="G154" s="144"/>
      <c r="H154" s="144"/>
      <c r="I154" s="144"/>
      <c r="J154" s="145"/>
      <c r="K154" s="145"/>
      <c r="L154" s="154"/>
      <c r="M154" s="155"/>
      <c r="N154" s="144"/>
      <c r="O154" s="144"/>
      <c r="P154" s="144"/>
      <c r="Q154" s="145"/>
      <c r="R154" s="145"/>
      <c r="S154" s="148"/>
      <c r="T154" s="147"/>
      <c r="U154" s="144"/>
      <c r="V154" s="144"/>
    </row>
    <row r="155" spans="1:22" ht="33.75" customHeight="1" x14ac:dyDescent="0.15">
      <c r="A155" s="144"/>
      <c r="B155" s="144"/>
      <c r="C155" s="145"/>
      <c r="D155" s="145"/>
      <c r="E155" s="148"/>
      <c r="F155" s="147"/>
      <c r="G155" s="144"/>
      <c r="H155" s="144"/>
      <c r="I155" s="144"/>
      <c r="J155" s="145"/>
      <c r="K155" s="145"/>
      <c r="L155" s="154"/>
      <c r="M155" s="155"/>
      <c r="N155" s="144"/>
      <c r="O155" s="144"/>
      <c r="P155" s="144"/>
      <c r="Q155" s="145"/>
      <c r="R155" s="145"/>
      <c r="S155" s="148"/>
      <c r="T155" s="147"/>
      <c r="U155" s="144"/>
      <c r="V155" s="144"/>
    </row>
    <row r="156" spans="1:22" ht="33.75" customHeight="1" x14ac:dyDescent="0.15">
      <c r="A156" s="144"/>
      <c r="B156" s="144"/>
      <c r="C156" s="145"/>
      <c r="D156" s="145"/>
      <c r="E156" s="148"/>
      <c r="F156" s="147"/>
      <c r="G156" s="144"/>
      <c r="H156" s="144"/>
      <c r="I156" s="144"/>
      <c r="J156" s="145"/>
      <c r="K156" s="145"/>
      <c r="L156" s="154"/>
      <c r="M156" s="155"/>
      <c r="N156" s="144"/>
      <c r="O156" s="144"/>
      <c r="P156" s="144"/>
      <c r="Q156" s="145"/>
      <c r="R156" s="145"/>
      <c r="S156" s="148"/>
      <c r="T156" s="147"/>
      <c r="U156" s="144"/>
      <c r="V156" s="144"/>
    </row>
    <row r="157" spans="1:22" ht="33.75" customHeight="1" x14ac:dyDescent="0.15">
      <c r="A157" s="144"/>
      <c r="B157" s="144"/>
      <c r="C157" s="145"/>
      <c r="D157" s="145"/>
      <c r="E157" s="148"/>
      <c r="F157" s="147"/>
      <c r="G157" s="144"/>
      <c r="H157" s="144"/>
      <c r="I157" s="144"/>
      <c r="J157" s="145"/>
      <c r="K157" s="145"/>
      <c r="L157" s="154"/>
      <c r="M157" s="155"/>
      <c r="N157" s="144"/>
      <c r="O157" s="144"/>
      <c r="P157" s="144"/>
      <c r="Q157" s="145"/>
      <c r="R157" s="145"/>
      <c r="S157" s="148"/>
      <c r="T157" s="147"/>
      <c r="U157" s="144"/>
      <c r="V157" s="144"/>
    </row>
    <row r="158" spans="1:22" ht="33.75" customHeight="1" x14ac:dyDescent="0.15">
      <c r="A158" s="144"/>
      <c r="B158" s="144"/>
      <c r="C158" s="145"/>
      <c r="D158" s="145"/>
      <c r="E158" s="148"/>
      <c r="F158" s="147"/>
      <c r="G158" s="144"/>
      <c r="H158" s="144"/>
      <c r="I158" s="144"/>
      <c r="J158" s="145"/>
      <c r="K158" s="145"/>
      <c r="L158" s="154"/>
      <c r="M158" s="155"/>
      <c r="N158" s="144"/>
      <c r="O158" s="144"/>
      <c r="P158" s="144"/>
      <c r="Q158" s="145"/>
      <c r="R158" s="145"/>
      <c r="S158" s="148"/>
      <c r="T158" s="147"/>
      <c r="U158" s="144"/>
      <c r="V158" s="144"/>
    </row>
    <row r="159" spans="1:22" ht="33.75" customHeight="1" x14ac:dyDescent="0.15">
      <c r="A159" s="144"/>
      <c r="B159" s="144"/>
      <c r="C159" s="145"/>
      <c r="D159" s="145"/>
      <c r="E159" s="148"/>
      <c r="F159" s="147"/>
      <c r="G159" s="144"/>
      <c r="H159" s="144"/>
      <c r="I159" s="144"/>
      <c r="J159" s="145"/>
      <c r="K159" s="145"/>
      <c r="L159" s="154"/>
      <c r="M159" s="155"/>
      <c r="N159" s="144"/>
      <c r="O159" s="144"/>
      <c r="P159" s="144"/>
      <c r="Q159" s="145"/>
      <c r="R159" s="145"/>
      <c r="S159" s="148"/>
      <c r="T159" s="147"/>
      <c r="U159" s="144"/>
      <c r="V159" s="144"/>
    </row>
    <row r="160" spans="1:22" ht="33.75" customHeight="1" x14ac:dyDescent="0.15">
      <c r="A160" s="144"/>
      <c r="B160" s="144"/>
      <c r="C160" s="145"/>
      <c r="D160" s="145"/>
      <c r="E160" s="148"/>
      <c r="F160" s="147"/>
      <c r="G160" s="144"/>
      <c r="H160" s="144"/>
      <c r="I160" s="144"/>
      <c r="J160" s="145"/>
      <c r="K160" s="145"/>
      <c r="L160" s="154"/>
      <c r="M160" s="155"/>
      <c r="N160" s="144"/>
      <c r="O160" s="144"/>
      <c r="P160" s="144"/>
      <c r="Q160" s="145"/>
      <c r="R160" s="145"/>
      <c r="S160" s="148"/>
      <c r="T160" s="147"/>
      <c r="U160" s="144"/>
      <c r="V160" s="144"/>
    </row>
    <row r="161" spans="1:22" ht="33.75" customHeight="1" x14ac:dyDescent="0.15">
      <c r="A161" s="144"/>
      <c r="B161" s="144"/>
      <c r="C161" s="145"/>
      <c r="D161" s="145"/>
      <c r="E161" s="148"/>
      <c r="F161" s="147"/>
      <c r="G161" s="144"/>
      <c r="H161" s="144"/>
      <c r="I161" s="144"/>
      <c r="J161" s="145"/>
      <c r="K161" s="145"/>
      <c r="L161" s="154"/>
      <c r="M161" s="155"/>
      <c r="N161" s="144"/>
      <c r="O161" s="144"/>
      <c r="P161" s="144"/>
      <c r="Q161" s="145"/>
      <c r="R161" s="145"/>
      <c r="S161" s="148"/>
      <c r="T161" s="147"/>
      <c r="U161" s="144"/>
      <c r="V161" s="144"/>
    </row>
    <row r="162" spans="1:22" ht="33.75" customHeight="1" x14ac:dyDescent="0.15">
      <c r="A162" s="144"/>
      <c r="B162" s="144"/>
      <c r="C162" s="145"/>
      <c r="D162" s="145"/>
      <c r="E162" s="148"/>
      <c r="F162" s="147"/>
      <c r="G162" s="144"/>
      <c r="H162" s="144"/>
      <c r="I162" s="144"/>
      <c r="J162" s="145"/>
      <c r="K162" s="145"/>
      <c r="L162" s="154"/>
      <c r="M162" s="155"/>
      <c r="N162" s="144"/>
      <c r="O162" s="144"/>
      <c r="P162" s="144"/>
      <c r="Q162" s="145"/>
      <c r="R162" s="145"/>
      <c r="S162" s="148"/>
      <c r="T162" s="147"/>
      <c r="U162" s="144"/>
      <c r="V162" s="144"/>
    </row>
    <row r="163" spans="1:22" ht="33.75" customHeight="1" x14ac:dyDescent="0.15">
      <c r="A163" s="144"/>
      <c r="B163" s="144"/>
      <c r="C163" s="145"/>
      <c r="D163" s="145"/>
      <c r="E163" s="148"/>
      <c r="F163" s="147"/>
      <c r="G163" s="144"/>
      <c r="H163" s="144"/>
      <c r="I163" s="144"/>
      <c r="J163" s="145"/>
      <c r="K163" s="145"/>
      <c r="L163" s="154"/>
      <c r="M163" s="155"/>
      <c r="N163" s="144"/>
      <c r="O163" s="144"/>
      <c r="P163" s="144"/>
      <c r="Q163" s="145"/>
      <c r="R163" s="145"/>
      <c r="S163" s="148"/>
      <c r="T163" s="147"/>
      <c r="U163" s="144"/>
      <c r="V163" s="144"/>
    </row>
    <row r="164" spans="1:22" ht="33.75" customHeight="1" x14ac:dyDescent="0.15">
      <c r="A164" s="144"/>
      <c r="B164" s="144"/>
      <c r="C164" s="145"/>
      <c r="D164" s="145"/>
      <c r="E164" s="148"/>
      <c r="F164" s="147"/>
      <c r="G164" s="144"/>
      <c r="H164" s="144"/>
      <c r="I164" s="144"/>
      <c r="J164" s="145"/>
      <c r="K164" s="145"/>
      <c r="L164" s="154"/>
      <c r="M164" s="155"/>
      <c r="N164" s="144"/>
      <c r="O164" s="144"/>
      <c r="P164" s="144"/>
      <c r="Q164" s="145"/>
      <c r="R164" s="145"/>
      <c r="S164" s="148"/>
      <c r="T164" s="147"/>
      <c r="U164" s="144"/>
      <c r="V164" s="144"/>
    </row>
    <row r="165" spans="1:22" ht="33.75" customHeight="1" x14ac:dyDescent="0.15">
      <c r="A165" s="144"/>
      <c r="B165" s="144"/>
      <c r="C165" s="145"/>
      <c r="D165" s="145"/>
      <c r="E165" s="148"/>
      <c r="F165" s="147"/>
      <c r="G165" s="144"/>
      <c r="H165" s="144"/>
      <c r="I165" s="144"/>
      <c r="J165" s="145"/>
      <c r="K165" s="145"/>
      <c r="L165" s="154"/>
      <c r="M165" s="155"/>
      <c r="N165" s="144"/>
      <c r="O165" s="144"/>
      <c r="P165" s="144"/>
      <c r="Q165" s="145"/>
      <c r="R165" s="145"/>
      <c r="S165" s="148"/>
      <c r="T165" s="147"/>
      <c r="U165" s="144"/>
      <c r="V165" s="144"/>
    </row>
    <row r="166" spans="1:22" ht="33.75" customHeight="1" x14ac:dyDescent="0.15">
      <c r="A166" s="144"/>
      <c r="B166" s="144"/>
      <c r="C166" s="145"/>
      <c r="D166" s="145"/>
      <c r="E166" s="148"/>
      <c r="F166" s="147"/>
      <c r="G166" s="144"/>
      <c r="H166" s="144"/>
      <c r="I166" s="144"/>
      <c r="J166" s="145"/>
      <c r="K166" s="145"/>
      <c r="L166" s="154"/>
      <c r="M166" s="155"/>
      <c r="N166" s="144"/>
      <c r="O166" s="144"/>
      <c r="P166" s="144"/>
      <c r="Q166" s="145"/>
      <c r="R166" s="145"/>
      <c r="S166" s="148"/>
      <c r="T166" s="147"/>
      <c r="U166" s="144"/>
      <c r="V166" s="144"/>
    </row>
    <row r="167" spans="1:22" ht="33.75" customHeight="1" x14ac:dyDescent="0.15">
      <c r="A167" s="144"/>
      <c r="B167" s="144"/>
      <c r="C167" s="145"/>
      <c r="D167" s="145"/>
      <c r="E167" s="148"/>
      <c r="F167" s="147"/>
      <c r="G167" s="144"/>
      <c r="H167" s="144"/>
      <c r="I167" s="144"/>
      <c r="J167" s="145"/>
      <c r="K167" s="145"/>
      <c r="L167" s="154"/>
      <c r="M167" s="155"/>
      <c r="N167" s="144"/>
      <c r="O167" s="144"/>
      <c r="P167" s="144"/>
      <c r="Q167" s="145"/>
      <c r="R167" s="145"/>
      <c r="S167" s="148"/>
      <c r="T167" s="147"/>
      <c r="U167" s="144"/>
      <c r="V167" s="144"/>
    </row>
    <row r="168" spans="1:22" ht="33.75" customHeight="1" x14ac:dyDescent="0.15">
      <c r="A168" s="144"/>
      <c r="B168" s="144"/>
      <c r="C168" s="145"/>
      <c r="D168" s="145"/>
      <c r="E168" s="148"/>
      <c r="F168" s="147"/>
      <c r="G168" s="144"/>
      <c r="H168" s="144"/>
      <c r="I168" s="144"/>
      <c r="J168" s="145"/>
      <c r="K168" s="145"/>
      <c r="L168" s="154"/>
      <c r="M168" s="155"/>
      <c r="N168" s="144"/>
      <c r="O168" s="144"/>
      <c r="P168" s="144"/>
      <c r="Q168" s="145"/>
      <c r="R168" s="145"/>
      <c r="S168" s="148"/>
      <c r="T168" s="147"/>
      <c r="U168" s="144"/>
      <c r="V168" s="144"/>
    </row>
    <row r="169" spans="1:22" ht="33.75" customHeight="1" x14ac:dyDescent="0.15">
      <c r="A169" s="144"/>
      <c r="B169" s="144"/>
      <c r="C169" s="145"/>
      <c r="D169" s="145"/>
      <c r="E169" s="148"/>
      <c r="F169" s="147"/>
      <c r="G169" s="144"/>
      <c r="H169" s="144"/>
      <c r="I169" s="144"/>
      <c r="J169" s="145"/>
      <c r="K169" s="145"/>
      <c r="L169" s="154"/>
      <c r="M169" s="155"/>
      <c r="N169" s="144"/>
      <c r="O169" s="144"/>
      <c r="P169" s="144"/>
      <c r="Q169" s="145"/>
      <c r="R169" s="145"/>
      <c r="S169" s="148"/>
      <c r="T169" s="147"/>
      <c r="U169" s="144"/>
      <c r="V169" s="144"/>
    </row>
    <row r="170" spans="1:22" ht="33.75" customHeight="1" x14ac:dyDescent="0.15">
      <c r="A170" s="144"/>
      <c r="B170" s="144"/>
      <c r="C170" s="145"/>
      <c r="D170" s="145"/>
      <c r="E170" s="148"/>
      <c r="F170" s="147"/>
      <c r="G170" s="144"/>
      <c r="H170" s="144"/>
      <c r="I170" s="144"/>
      <c r="J170" s="145"/>
      <c r="K170" s="145"/>
      <c r="L170" s="154"/>
      <c r="M170" s="155"/>
      <c r="N170" s="144"/>
      <c r="O170" s="144"/>
      <c r="P170" s="144"/>
      <c r="Q170" s="145"/>
      <c r="R170" s="145"/>
      <c r="S170" s="148"/>
      <c r="T170" s="147"/>
      <c r="U170" s="144"/>
      <c r="V170" s="144"/>
    </row>
    <row r="171" spans="1:22" ht="33.75" customHeight="1" x14ac:dyDescent="0.15">
      <c r="A171" s="144"/>
      <c r="B171" s="144"/>
      <c r="C171" s="145"/>
      <c r="D171" s="145"/>
      <c r="E171" s="148"/>
      <c r="F171" s="147"/>
      <c r="G171" s="144"/>
      <c r="H171" s="144"/>
      <c r="I171" s="144"/>
      <c r="J171" s="145"/>
      <c r="K171" s="145"/>
      <c r="L171" s="154"/>
      <c r="M171" s="155"/>
      <c r="N171" s="144"/>
      <c r="O171" s="144"/>
      <c r="P171" s="144"/>
      <c r="Q171" s="145"/>
      <c r="R171" s="145"/>
      <c r="S171" s="148"/>
      <c r="T171" s="147"/>
      <c r="U171" s="144"/>
      <c r="V171" s="144"/>
    </row>
    <row r="172" spans="1:22" ht="33.75" customHeight="1" x14ac:dyDescent="0.15">
      <c r="A172" s="144"/>
      <c r="B172" s="144"/>
      <c r="C172" s="145"/>
      <c r="D172" s="145"/>
      <c r="E172" s="148"/>
      <c r="F172" s="147"/>
      <c r="G172" s="144"/>
      <c r="H172" s="144"/>
      <c r="I172" s="144"/>
      <c r="J172" s="145"/>
      <c r="K172" s="145"/>
      <c r="L172" s="154"/>
      <c r="M172" s="155"/>
      <c r="N172" s="144"/>
      <c r="O172" s="144"/>
      <c r="P172" s="144"/>
      <c r="Q172" s="145"/>
      <c r="R172" s="145"/>
      <c r="S172" s="148"/>
      <c r="T172" s="147"/>
      <c r="U172" s="144"/>
      <c r="V172" s="144"/>
    </row>
    <row r="173" spans="1:22" ht="33.75" customHeight="1" x14ac:dyDescent="0.15">
      <c r="A173" s="144"/>
      <c r="B173" s="144"/>
      <c r="C173" s="145"/>
      <c r="D173" s="145"/>
      <c r="E173" s="148"/>
      <c r="F173" s="147"/>
      <c r="G173" s="144"/>
      <c r="H173" s="144"/>
      <c r="I173" s="144"/>
      <c r="J173" s="145"/>
      <c r="K173" s="145"/>
      <c r="L173" s="154"/>
      <c r="M173" s="155"/>
      <c r="N173" s="144"/>
      <c r="O173" s="144"/>
      <c r="P173" s="144"/>
      <c r="Q173" s="145"/>
      <c r="R173" s="145"/>
      <c r="S173" s="148"/>
      <c r="T173" s="147"/>
      <c r="U173" s="144"/>
      <c r="V173" s="144"/>
    </row>
    <row r="174" spans="1:22" ht="33.75" customHeight="1" x14ac:dyDescent="0.15">
      <c r="A174" s="144"/>
      <c r="B174" s="144"/>
      <c r="C174" s="145"/>
      <c r="D174" s="145"/>
      <c r="E174" s="148"/>
      <c r="F174" s="147"/>
      <c r="G174" s="144"/>
      <c r="H174" s="144"/>
      <c r="I174" s="144"/>
      <c r="J174" s="145"/>
      <c r="K174" s="145"/>
      <c r="L174" s="154"/>
      <c r="M174" s="155"/>
      <c r="N174" s="144"/>
      <c r="O174" s="144"/>
      <c r="P174" s="144"/>
      <c r="Q174" s="145"/>
      <c r="R174" s="145"/>
      <c r="S174" s="148"/>
      <c r="T174" s="147"/>
      <c r="U174" s="144"/>
      <c r="V174" s="144"/>
    </row>
    <row r="175" spans="1:22" ht="33.75" customHeight="1" x14ac:dyDescent="0.15">
      <c r="A175" s="144"/>
      <c r="B175" s="144"/>
      <c r="C175" s="145"/>
      <c r="D175" s="145"/>
      <c r="E175" s="148"/>
      <c r="F175" s="147"/>
      <c r="G175" s="144"/>
      <c r="H175" s="144"/>
      <c r="I175" s="144"/>
      <c r="J175" s="145"/>
      <c r="K175" s="145"/>
      <c r="L175" s="154"/>
      <c r="M175" s="155"/>
      <c r="N175" s="144"/>
      <c r="O175" s="144"/>
      <c r="P175" s="144"/>
      <c r="Q175" s="145"/>
      <c r="R175" s="145"/>
      <c r="S175" s="148"/>
      <c r="T175" s="147"/>
      <c r="U175" s="144"/>
      <c r="V175" s="144"/>
    </row>
    <row r="176" spans="1:22" ht="33.75" customHeight="1" x14ac:dyDescent="0.15">
      <c r="A176" s="144"/>
      <c r="B176" s="144"/>
      <c r="C176" s="145"/>
      <c r="D176" s="145"/>
      <c r="E176" s="148"/>
      <c r="F176" s="147"/>
      <c r="G176" s="144"/>
      <c r="H176" s="144"/>
      <c r="I176" s="144"/>
      <c r="J176" s="145"/>
      <c r="K176" s="145"/>
      <c r="L176" s="154"/>
      <c r="M176" s="155"/>
      <c r="N176" s="144"/>
      <c r="O176" s="144"/>
      <c r="P176" s="144"/>
      <c r="Q176" s="145"/>
      <c r="R176" s="145"/>
      <c r="S176" s="148"/>
      <c r="T176" s="147"/>
      <c r="U176" s="144"/>
      <c r="V176" s="144"/>
    </row>
    <row r="177" spans="1:22" ht="33.75" customHeight="1" x14ac:dyDescent="0.15">
      <c r="A177" s="144"/>
      <c r="B177" s="144"/>
      <c r="C177" s="145"/>
      <c r="D177" s="145"/>
      <c r="E177" s="148"/>
      <c r="F177" s="147"/>
      <c r="G177" s="144"/>
      <c r="H177" s="144"/>
      <c r="I177" s="144"/>
      <c r="J177" s="145"/>
      <c r="K177" s="145"/>
      <c r="L177" s="154"/>
      <c r="M177" s="155"/>
      <c r="N177" s="144"/>
      <c r="O177" s="144"/>
      <c r="P177" s="144"/>
      <c r="Q177" s="145"/>
      <c r="R177" s="145"/>
      <c r="S177" s="148"/>
      <c r="T177" s="147"/>
      <c r="U177" s="144"/>
      <c r="V177" s="144"/>
    </row>
    <row r="178" spans="1:22" ht="33.75" customHeight="1" x14ac:dyDescent="0.15">
      <c r="A178" s="144"/>
      <c r="B178" s="144"/>
      <c r="C178" s="145"/>
      <c r="D178" s="145"/>
      <c r="E178" s="148"/>
      <c r="F178" s="147"/>
      <c r="G178" s="144"/>
      <c r="H178" s="144"/>
      <c r="I178" s="144"/>
      <c r="J178" s="145"/>
      <c r="K178" s="145"/>
      <c r="L178" s="154"/>
      <c r="M178" s="155"/>
      <c r="N178" s="144"/>
      <c r="O178" s="144"/>
      <c r="P178" s="144"/>
      <c r="Q178" s="145"/>
      <c r="R178" s="145"/>
      <c r="S178" s="148"/>
      <c r="T178" s="147"/>
      <c r="U178" s="144"/>
      <c r="V178" s="144"/>
    </row>
    <row r="179" spans="1:22" ht="33.75" customHeight="1" x14ac:dyDescent="0.15">
      <c r="A179" s="144"/>
      <c r="B179" s="144"/>
      <c r="C179" s="145"/>
      <c r="D179" s="145"/>
      <c r="E179" s="148"/>
      <c r="F179" s="147"/>
      <c r="G179" s="144"/>
      <c r="H179" s="144"/>
      <c r="I179" s="144"/>
      <c r="J179" s="145"/>
      <c r="K179" s="145"/>
      <c r="L179" s="154"/>
      <c r="M179" s="155"/>
      <c r="N179" s="144"/>
      <c r="O179" s="144"/>
      <c r="P179" s="144"/>
      <c r="Q179" s="145"/>
      <c r="R179" s="145"/>
      <c r="S179" s="148"/>
      <c r="T179" s="147"/>
      <c r="U179" s="144"/>
      <c r="V179" s="144"/>
    </row>
    <row r="180" spans="1:22" ht="33.75" customHeight="1" x14ac:dyDescent="0.15">
      <c r="A180" s="144"/>
      <c r="B180" s="144"/>
      <c r="C180" s="145"/>
      <c r="D180" s="145"/>
      <c r="E180" s="148"/>
      <c r="F180" s="147"/>
      <c r="G180" s="144"/>
      <c r="H180" s="144"/>
      <c r="I180" s="144"/>
      <c r="J180" s="145"/>
      <c r="K180" s="145"/>
      <c r="L180" s="154"/>
      <c r="M180" s="155"/>
      <c r="N180" s="144"/>
      <c r="O180" s="144"/>
      <c r="P180" s="144"/>
      <c r="Q180" s="145"/>
      <c r="R180" s="145"/>
      <c r="S180" s="148"/>
      <c r="T180" s="147"/>
      <c r="U180" s="144"/>
      <c r="V180" s="144"/>
    </row>
    <row r="181" spans="1:22" ht="33.75" customHeight="1" x14ac:dyDescent="0.15">
      <c r="A181" s="144"/>
      <c r="B181" s="144"/>
      <c r="C181" s="145"/>
      <c r="D181" s="145"/>
      <c r="E181" s="148"/>
      <c r="F181" s="147"/>
      <c r="G181" s="144"/>
      <c r="H181" s="144"/>
      <c r="I181" s="144"/>
      <c r="J181" s="145"/>
      <c r="K181" s="145"/>
      <c r="L181" s="154"/>
      <c r="M181" s="155"/>
      <c r="N181" s="144"/>
      <c r="O181" s="144"/>
      <c r="P181" s="144"/>
      <c r="Q181" s="145"/>
      <c r="R181" s="145"/>
      <c r="S181" s="148"/>
      <c r="T181" s="147"/>
      <c r="U181" s="144"/>
      <c r="V181" s="144"/>
    </row>
    <row r="182" spans="1:22" ht="33.75" customHeight="1" x14ac:dyDescent="0.15">
      <c r="A182" s="144"/>
      <c r="B182" s="144"/>
      <c r="C182" s="145"/>
      <c r="D182" s="145"/>
      <c r="E182" s="148"/>
      <c r="F182" s="147"/>
      <c r="G182" s="144"/>
      <c r="H182" s="144"/>
      <c r="I182" s="144"/>
      <c r="J182" s="145"/>
      <c r="K182" s="145"/>
      <c r="L182" s="154"/>
      <c r="M182" s="155"/>
      <c r="N182" s="144"/>
      <c r="O182" s="144"/>
      <c r="P182" s="144"/>
      <c r="Q182" s="145"/>
      <c r="R182" s="145"/>
      <c r="S182" s="148"/>
      <c r="T182" s="147"/>
      <c r="U182" s="144"/>
      <c r="V182" s="144"/>
    </row>
    <row r="183" spans="1:22" ht="33.75" customHeight="1" x14ac:dyDescent="0.15">
      <c r="A183" s="144"/>
      <c r="B183" s="144"/>
      <c r="C183" s="145"/>
      <c r="D183" s="145"/>
      <c r="E183" s="148"/>
      <c r="F183" s="147"/>
      <c r="G183" s="144"/>
      <c r="H183" s="144"/>
      <c r="I183" s="144"/>
      <c r="J183" s="145"/>
      <c r="K183" s="145"/>
      <c r="L183" s="154"/>
      <c r="M183" s="155"/>
      <c r="N183" s="144"/>
      <c r="O183" s="144"/>
      <c r="P183" s="144"/>
      <c r="Q183" s="145"/>
      <c r="R183" s="145"/>
      <c r="S183" s="148"/>
      <c r="T183" s="147"/>
      <c r="U183" s="144"/>
      <c r="V183" s="144"/>
    </row>
    <row r="184" spans="1:22" ht="33.75" customHeight="1" x14ac:dyDescent="0.15">
      <c r="A184" s="144"/>
      <c r="B184" s="144"/>
      <c r="C184" s="145"/>
      <c r="D184" s="145"/>
      <c r="E184" s="148"/>
      <c r="F184" s="147"/>
      <c r="G184" s="144"/>
      <c r="H184" s="144"/>
      <c r="I184" s="144"/>
      <c r="J184" s="145"/>
      <c r="K184" s="145"/>
      <c r="L184" s="154"/>
      <c r="M184" s="155"/>
      <c r="N184" s="144"/>
      <c r="O184" s="144"/>
      <c r="P184" s="144"/>
      <c r="Q184" s="145"/>
      <c r="R184" s="145"/>
      <c r="S184" s="148"/>
      <c r="T184" s="147"/>
      <c r="U184" s="144"/>
      <c r="V184" s="144"/>
    </row>
    <row r="185" spans="1:22" ht="33.75" customHeight="1" x14ac:dyDescent="0.15">
      <c r="A185" s="144"/>
      <c r="B185" s="144"/>
      <c r="C185" s="145"/>
      <c r="D185" s="145"/>
      <c r="E185" s="148"/>
      <c r="F185" s="147"/>
      <c r="G185" s="144"/>
      <c r="H185" s="144"/>
      <c r="I185" s="144"/>
      <c r="J185" s="145"/>
      <c r="K185" s="145"/>
      <c r="L185" s="154"/>
      <c r="M185" s="155"/>
      <c r="N185" s="144"/>
      <c r="O185" s="144"/>
      <c r="P185" s="144"/>
      <c r="Q185" s="145"/>
      <c r="R185" s="145"/>
      <c r="S185" s="148"/>
      <c r="T185" s="147"/>
      <c r="U185" s="144"/>
      <c r="V185" s="144"/>
    </row>
    <row r="186" spans="1:22" ht="33.75" customHeight="1" x14ac:dyDescent="0.15">
      <c r="A186" s="144"/>
      <c r="B186" s="144"/>
      <c r="C186" s="145"/>
      <c r="D186" s="145"/>
      <c r="E186" s="148"/>
      <c r="F186" s="147"/>
      <c r="G186" s="144"/>
      <c r="H186" s="144"/>
      <c r="I186" s="144"/>
      <c r="J186" s="145"/>
      <c r="K186" s="145"/>
      <c r="L186" s="154"/>
      <c r="M186" s="155"/>
      <c r="N186" s="144"/>
      <c r="O186" s="144"/>
      <c r="P186" s="144"/>
      <c r="Q186" s="145"/>
      <c r="R186" s="145"/>
      <c r="S186" s="148"/>
      <c r="T186" s="147"/>
      <c r="U186" s="144"/>
      <c r="V186" s="144"/>
    </row>
    <row r="187" spans="1:22" ht="33.75" customHeight="1" x14ac:dyDescent="0.15">
      <c r="A187" s="144"/>
      <c r="B187" s="144"/>
      <c r="C187" s="145"/>
      <c r="D187" s="145"/>
      <c r="E187" s="148"/>
      <c r="F187" s="147"/>
      <c r="G187" s="144"/>
      <c r="H187" s="144"/>
      <c r="I187" s="144"/>
      <c r="J187" s="145"/>
      <c r="K187" s="145"/>
      <c r="L187" s="154"/>
      <c r="M187" s="155"/>
      <c r="N187" s="144"/>
      <c r="O187" s="144"/>
      <c r="P187" s="144"/>
      <c r="Q187" s="145"/>
      <c r="R187" s="145"/>
      <c r="S187" s="148"/>
      <c r="T187" s="147"/>
      <c r="U187" s="144"/>
      <c r="V187" s="144"/>
    </row>
    <row r="188" spans="1:22" ht="33.75" customHeight="1" x14ac:dyDescent="0.15">
      <c r="A188" s="144"/>
      <c r="B188" s="144"/>
      <c r="C188" s="145"/>
      <c r="D188" s="145"/>
      <c r="E188" s="148"/>
      <c r="F188" s="147"/>
      <c r="G188" s="144"/>
      <c r="H188" s="144"/>
      <c r="I188" s="144"/>
      <c r="J188" s="145"/>
      <c r="K188" s="145"/>
      <c r="L188" s="154"/>
      <c r="M188" s="155"/>
      <c r="N188" s="144"/>
      <c r="O188" s="144"/>
      <c r="P188" s="144"/>
      <c r="Q188" s="145"/>
      <c r="R188" s="145"/>
      <c r="S188" s="148"/>
      <c r="T188" s="147"/>
      <c r="U188" s="144"/>
      <c r="V188" s="144"/>
    </row>
    <row r="189" spans="1:22" ht="33.75" customHeight="1" x14ac:dyDescent="0.15">
      <c r="A189" s="144"/>
      <c r="B189" s="144"/>
      <c r="C189" s="145"/>
      <c r="D189" s="145"/>
      <c r="E189" s="148"/>
      <c r="F189" s="147"/>
      <c r="G189" s="144"/>
      <c r="H189" s="144"/>
      <c r="I189" s="144"/>
      <c r="J189" s="145"/>
      <c r="K189" s="145"/>
      <c r="L189" s="154"/>
      <c r="M189" s="155"/>
      <c r="N189" s="144"/>
      <c r="O189" s="144"/>
      <c r="P189" s="144"/>
      <c r="Q189" s="145"/>
      <c r="R189" s="145"/>
      <c r="S189" s="148"/>
      <c r="T189" s="147"/>
      <c r="U189" s="144"/>
      <c r="V189" s="144"/>
    </row>
    <row r="190" spans="1:22" ht="33.75" customHeight="1" x14ac:dyDescent="0.15">
      <c r="A190" s="144"/>
      <c r="B190" s="144"/>
      <c r="C190" s="145"/>
      <c r="D190" s="145"/>
      <c r="E190" s="148"/>
      <c r="F190" s="147"/>
      <c r="G190" s="144"/>
      <c r="H190" s="144"/>
      <c r="I190" s="144"/>
      <c r="J190" s="145"/>
      <c r="K190" s="145"/>
      <c r="L190" s="154"/>
      <c r="M190" s="155"/>
      <c r="N190" s="144"/>
      <c r="O190" s="144"/>
      <c r="P190" s="144"/>
      <c r="Q190" s="145"/>
      <c r="R190" s="145"/>
      <c r="S190" s="148"/>
      <c r="T190" s="147"/>
      <c r="U190" s="144"/>
      <c r="V190" s="144"/>
    </row>
    <row r="191" spans="1:22" ht="33.75" customHeight="1" x14ac:dyDescent="0.15">
      <c r="A191" s="144"/>
      <c r="B191" s="144"/>
      <c r="C191" s="145"/>
      <c r="D191" s="145"/>
      <c r="E191" s="148"/>
      <c r="F191" s="147"/>
      <c r="G191" s="144"/>
      <c r="H191" s="144"/>
      <c r="I191" s="144"/>
      <c r="J191" s="145"/>
      <c r="K191" s="145"/>
      <c r="L191" s="154"/>
      <c r="M191" s="155"/>
      <c r="N191" s="144"/>
      <c r="O191" s="144"/>
      <c r="P191" s="144"/>
      <c r="Q191" s="145"/>
      <c r="R191" s="145"/>
      <c r="S191" s="148"/>
      <c r="T191" s="147"/>
      <c r="U191" s="144"/>
      <c r="V191" s="144"/>
    </row>
    <row r="192" spans="1:22" ht="33.75" customHeight="1" x14ac:dyDescent="0.15">
      <c r="A192" s="144"/>
      <c r="B192" s="144"/>
      <c r="C192" s="145"/>
      <c r="D192" s="145"/>
      <c r="E192" s="148"/>
      <c r="F192" s="147"/>
      <c r="G192" s="144"/>
      <c r="H192" s="144"/>
      <c r="I192" s="144"/>
      <c r="J192" s="145"/>
      <c r="K192" s="145"/>
      <c r="L192" s="154"/>
      <c r="M192" s="155"/>
      <c r="N192" s="144"/>
      <c r="O192" s="144"/>
      <c r="P192" s="144"/>
      <c r="Q192" s="145"/>
      <c r="R192" s="145"/>
      <c r="S192" s="148"/>
      <c r="T192" s="147"/>
      <c r="U192" s="144"/>
      <c r="V192" s="144"/>
    </row>
    <row r="193" spans="1:22" ht="33.75" customHeight="1" x14ac:dyDescent="0.15">
      <c r="A193" s="144"/>
      <c r="B193" s="144"/>
      <c r="C193" s="145"/>
      <c r="D193" s="145"/>
      <c r="E193" s="148"/>
      <c r="F193" s="147"/>
      <c r="G193" s="144"/>
      <c r="H193" s="144"/>
      <c r="I193" s="144"/>
      <c r="J193" s="145"/>
      <c r="K193" s="145"/>
      <c r="L193" s="154"/>
      <c r="M193" s="155"/>
      <c r="N193" s="144"/>
      <c r="O193" s="144"/>
      <c r="P193" s="144"/>
      <c r="Q193" s="145"/>
      <c r="R193" s="145"/>
      <c r="S193" s="148"/>
      <c r="T193" s="147"/>
      <c r="U193" s="144"/>
      <c r="V193" s="144"/>
    </row>
    <row r="194" spans="1:22" ht="33.75" customHeight="1" x14ac:dyDescent="0.15">
      <c r="A194" s="144"/>
      <c r="B194" s="144"/>
      <c r="C194" s="145"/>
      <c r="D194" s="145"/>
      <c r="E194" s="148"/>
      <c r="F194" s="147"/>
      <c r="G194" s="144"/>
      <c r="H194" s="144"/>
      <c r="I194" s="144"/>
      <c r="J194" s="145"/>
      <c r="K194" s="145"/>
      <c r="L194" s="154"/>
      <c r="M194" s="155"/>
      <c r="N194" s="144"/>
      <c r="O194" s="144"/>
      <c r="P194" s="144"/>
      <c r="Q194" s="145"/>
      <c r="R194" s="145"/>
      <c r="S194" s="148"/>
      <c r="T194" s="147"/>
      <c r="U194" s="144"/>
      <c r="V194" s="144"/>
    </row>
    <row r="195" spans="1:22" ht="33.75" customHeight="1" x14ac:dyDescent="0.15">
      <c r="A195" s="144"/>
      <c r="B195" s="144"/>
      <c r="C195" s="145"/>
      <c r="D195" s="145"/>
      <c r="E195" s="148"/>
      <c r="F195" s="147"/>
      <c r="G195" s="144"/>
      <c r="H195" s="144"/>
      <c r="I195" s="144"/>
      <c r="J195" s="145"/>
      <c r="K195" s="145"/>
      <c r="L195" s="154"/>
      <c r="M195" s="155"/>
      <c r="N195" s="144"/>
      <c r="O195" s="144"/>
      <c r="P195" s="144"/>
      <c r="Q195" s="145"/>
      <c r="R195" s="145"/>
      <c r="S195" s="148"/>
      <c r="T195" s="147"/>
      <c r="U195" s="144"/>
      <c r="V195" s="144"/>
    </row>
    <row r="196" spans="1:22" ht="33.75" customHeight="1" x14ac:dyDescent="0.15">
      <c r="A196" s="144"/>
      <c r="B196" s="144"/>
      <c r="C196" s="145"/>
      <c r="D196" s="145"/>
      <c r="E196" s="148"/>
      <c r="F196" s="147"/>
      <c r="G196" s="144"/>
      <c r="H196" s="144"/>
      <c r="I196" s="144"/>
      <c r="J196" s="145"/>
      <c r="K196" s="145"/>
      <c r="L196" s="154"/>
      <c r="M196" s="155"/>
      <c r="N196" s="144"/>
      <c r="O196" s="144"/>
      <c r="P196" s="144"/>
      <c r="Q196" s="145"/>
      <c r="R196" s="145"/>
      <c r="S196" s="148"/>
      <c r="T196" s="147"/>
      <c r="U196" s="144"/>
      <c r="V196" s="144"/>
    </row>
    <row r="197" spans="1:22" ht="33.75" customHeight="1" x14ac:dyDescent="0.15">
      <c r="A197" s="144"/>
      <c r="B197" s="144"/>
      <c r="C197" s="145"/>
      <c r="D197" s="145"/>
      <c r="E197" s="148"/>
      <c r="F197" s="147"/>
      <c r="G197" s="144"/>
      <c r="H197" s="144"/>
      <c r="I197" s="144"/>
      <c r="J197" s="145"/>
      <c r="K197" s="145"/>
      <c r="L197" s="154"/>
      <c r="M197" s="155"/>
      <c r="N197" s="144"/>
      <c r="O197" s="144"/>
      <c r="P197" s="144"/>
      <c r="Q197" s="145"/>
      <c r="R197" s="145"/>
      <c r="S197" s="148"/>
      <c r="T197" s="147"/>
      <c r="U197" s="144"/>
      <c r="V197" s="144"/>
    </row>
    <row r="198" spans="1:22" ht="33.75" customHeight="1" x14ac:dyDescent="0.15">
      <c r="A198" s="144"/>
      <c r="B198" s="144"/>
      <c r="C198" s="145"/>
      <c r="D198" s="145"/>
      <c r="E198" s="148"/>
      <c r="F198" s="147"/>
      <c r="G198" s="144"/>
      <c r="H198" s="144"/>
      <c r="I198" s="144"/>
      <c r="J198" s="145"/>
      <c r="K198" s="145"/>
      <c r="L198" s="154"/>
      <c r="M198" s="155"/>
      <c r="N198" s="144"/>
      <c r="O198" s="144"/>
      <c r="P198" s="144"/>
      <c r="Q198" s="145"/>
      <c r="R198" s="145"/>
      <c r="S198" s="148"/>
      <c r="T198" s="147"/>
      <c r="U198" s="144"/>
      <c r="V198" s="144"/>
    </row>
    <row r="199" spans="1:22" ht="33.75" customHeight="1" x14ac:dyDescent="0.15">
      <c r="A199" s="144"/>
      <c r="B199" s="144"/>
      <c r="C199" s="145"/>
      <c r="D199" s="145"/>
      <c r="E199" s="148"/>
      <c r="F199" s="147"/>
      <c r="G199" s="144"/>
      <c r="H199" s="144"/>
      <c r="I199" s="144"/>
      <c r="J199" s="145"/>
      <c r="K199" s="145"/>
      <c r="L199" s="154"/>
      <c r="M199" s="155"/>
      <c r="N199" s="144"/>
      <c r="O199" s="144"/>
      <c r="P199" s="144"/>
      <c r="Q199" s="145"/>
      <c r="R199" s="145"/>
      <c r="S199" s="148"/>
      <c r="T199" s="147"/>
      <c r="U199" s="144"/>
      <c r="V199" s="144"/>
    </row>
    <row r="200" spans="1:22" ht="33.75" customHeight="1" x14ac:dyDescent="0.15">
      <c r="A200" s="144"/>
      <c r="B200" s="144"/>
      <c r="C200" s="145"/>
      <c r="D200" s="145"/>
      <c r="E200" s="148"/>
      <c r="F200" s="147"/>
      <c r="G200" s="144"/>
      <c r="H200" s="144"/>
      <c r="I200" s="144"/>
      <c r="J200" s="145"/>
      <c r="K200" s="145"/>
      <c r="L200" s="154"/>
      <c r="M200" s="155"/>
      <c r="N200" s="144"/>
      <c r="O200" s="144"/>
      <c r="P200" s="144"/>
      <c r="Q200" s="145"/>
      <c r="R200" s="145"/>
      <c r="S200" s="148"/>
      <c r="T200" s="147"/>
      <c r="U200" s="144"/>
      <c r="V200" s="144"/>
    </row>
    <row r="201" spans="1:22" ht="33.75" customHeight="1" x14ac:dyDescent="0.15">
      <c r="A201" s="144"/>
      <c r="B201" s="144"/>
      <c r="C201" s="145"/>
      <c r="D201" s="145"/>
      <c r="E201" s="148"/>
      <c r="F201" s="147"/>
      <c r="G201" s="144"/>
      <c r="H201" s="144"/>
      <c r="I201" s="144"/>
      <c r="J201" s="145"/>
      <c r="K201" s="145"/>
      <c r="L201" s="154"/>
      <c r="M201" s="155"/>
      <c r="N201" s="144"/>
      <c r="O201" s="144"/>
      <c r="P201" s="144"/>
      <c r="Q201" s="145"/>
      <c r="R201" s="145"/>
      <c r="S201" s="148"/>
      <c r="T201" s="147"/>
      <c r="U201" s="144"/>
      <c r="V201" s="144"/>
    </row>
    <row r="202" spans="1:22" ht="33.75" customHeight="1" x14ac:dyDescent="0.15">
      <c r="A202" s="144"/>
      <c r="B202" s="144"/>
      <c r="C202" s="145"/>
      <c r="D202" s="145"/>
      <c r="E202" s="148"/>
      <c r="F202" s="147"/>
      <c r="G202" s="144"/>
      <c r="H202" s="144"/>
      <c r="I202" s="144"/>
      <c r="J202" s="145"/>
      <c r="K202" s="145"/>
      <c r="L202" s="154"/>
      <c r="M202" s="155"/>
      <c r="N202" s="144"/>
      <c r="O202" s="144"/>
      <c r="P202" s="144"/>
      <c r="Q202" s="145"/>
      <c r="R202" s="145"/>
      <c r="S202" s="148"/>
      <c r="T202" s="147"/>
      <c r="U202" s="144"/>
      <c r="V202" s="144"/>
    </row>
    <row r="203" spans="1:22" ht="33.75" customHeight="1" x14ac:dyDescent="0.15">
      <c r="A203" s="144"/>
      <c r="B203" s="144"/>
      <c r="C203" s="145"/>
      <c r="D203" s="145"/>
      <c r="E203" s="148"/>
      <c r="F203" s="147"/>
      <c r="G203" s="144"/>
      <c r="H203" s="144"/>
      <c r="I203" s="144"/>
      <c r="J203" s="145"/>
      <c r="K203" s="145"/>
      <c r="L203" s="154"/>
      <c r="M203" s="155"/>
      <c r="N203" s="144"/>
      <c r="O203" s="144"/>
      <c r="P203" s="144"/>
      <c r="Q203" s="145"/>
      <c r="R203" s="145"/>
      <c r="S203" s="148"/>
      <c r="T203" s="147"/>
      <c r="U203" s="144"/>
      <c r="V203" s="144"/>
    </row>
    <row r="204" spans="1:22" ht="33.75" customHeight="1" x14ac:dyDescent="0.15">
      <c r="A204" s="144"/>
      <c r="B204" s="144"/>
      <c r="C204" s="145"/>
      <c r="D204" s="145"/>
      <c r="E204" s="148"/>
      <c r="F204" s="147"/>
      <c r="G204" s="144"/>
      <c r="H204" s="144"/>
      <c r="I204" s="144"/>
      <c r="J204" s="145"/>
      <c r="K204" s="145"/>
      <c r="L204" s="154"/>
      <c r="M204" s="155"/>
      <c r="N204" s="144"/>
      <c r="O204" s="144"/>
      <c r="P204" s="144"/>
      <c r="Q204" s="145"/>
      <c r="R204" s="145"/>
      <c r="S204" s="148"/>
      <c r="T204" s="147"/>
      <c r="U204" s="144"/>
      <c r="V204" s="144"/>
    </row>
    <row r="205" spans="1:22" ht="33.75" customHeight="1" x14ac:dyDescent="0.15">
      <c r="A205" s="144"/>
      <c r="B205" s="144"/>
      <c r="C205" s="145"/>
      <c r="D205" s="145"/>
      <c r="E205" s="148"/>
      <c r="F205" s="147"/>
      <c r="G205" s="144"/>
      <c r="H205" s="144"/>
      <c r="I205" s="144"/>
      <c r="J205" s="145"/>
      <c r="K205" s="145"/>
      <c r="L205" s="154"/>
      <c r="M205" s="155"/>
      <c r="N205" s="144"/>
      <c r="O205" s="144"/>
      <c r="P205" s="144"/>
      <c r="Q205" s="145"/>
      <c r="R205" s="145"/>
      <c r="S205" s="148"/>
      <c r="T205" s="147"/>
      <c r="U205" s="144"/>
      <c r="V205" s="144"/>
    </row>
    <row r="206" spans="1:22" ht="33.75" customHeight="1" x14ac:dyDescent="0.15">
      <c r="A206" s="144"/>
      <c r="B206" s="144"/>
      <c r="C206" s="145"/>
      <c r="D206" s="145"/>
      <c r="E206" s="148"/>
      <c r="F206" s="147"/>
      <c r="G206" s="144"/>
      <c r="H206" s="144"/>
      <c r="I206" s="144"/>
      <c r="J206" s="145"/>
      <c r="K206" s="145"/>
      <c r="L206" s="154"/>
      <c r="M206" s="155"/>
      <c r="N206" s="144"/>
      <c r="O206" s="144"/>
      <c r="P206" s="144"/>
      <c r="Q206" s="145"/>
      <c r="R206" s="145"/>
      <c r="S206" s="148"/>
      <c r="T206" s="147"/>
      <c r="U206" s="144"/>
      <c r="V206" s="144"/>
    </row>
    <row r="207" spans="1:22" ht="33.75" customHeight="1" x14ac:dyDescent="0.15">
      <c r="A207" s="144"/>
      <c r="B207" s="144"/>
      <c r="C207" s="145"/>
      <c r="D207" s="145"/>
      <c r="E207" s="148"/>
      <c r="F207" s="147"/>
      <c r="G207" s="144"/>
      <c r="H207" s="144"/>
      <c r="I207" s="144"/>
      <c r="J207" s="145"/>
      <c r="K207" s="145"/>
      <c r="L207" s="154"/>
      <c r="M207" s="155"/>
      <c r="N207" s="144"/>
      <c r="O207" s="144"/>
      <c r="P207" s="144"/>
      <c r="Q207" s="145"/>
      <c r="R207" s="145"/>
      <c r="S207" s="148"/>
      <c r="T207" s="147"/>
      <c r="U207" s="144"/>
      <c r="V207" s="144"/>
    </row>
    <row r="208" spans="1:22" ht="33.75" customHeight="1" x14ac:dyDescent="0.15">
      <c r="A208" s="144"/>
      <c r="B208" s="144"/>
      <c r="C208" s="145"/>
      <c r="D208" s="145"/>
      <c r="E208" s="148"/>
      <c r="F208" s="147"/>
      <c r="G208" s="144"/>
      <c r="H208" s="144"/>
      <c r="I208" s="144"/>
      <c r="J208" s="145"/>
      <c r="K208" s="145"/>
      <c r="L208" s="154"/>
      <c r="M208" s="155"/>
      <c r="N208" s="144"/>
      <c r="O208" s="144"/>
      <c r="P208" s="144"/>
      <c r="Q208" s="145"/>
      <c r="R208" s="145"/>
      <c r="S208" s="148"/>
      <c r="T208" s="147"/>
      <c r="U208" s="144"/>
      <c r="V208" s="144"/>
    </row>
    <row r="209" spans="1:22" ht="33.75" customHeight="1" x14ac:dyDescent="0.15">
      <c r="A209" s="144"/>
      <c r="B209" s="144"/>
      <c r="C209" s="145"/>
      <c r="D209" s="145"/>
      <c r="E209" s="148"/>
      <c r="F209" s="147"/>
      <c r="G209" s="144"/>
      <c r="H209" s="144"/>
      <c r="I209" s="144"/>
      <c r="J209" s="145"/>
      <c r="K209" s="145"/>
      <c r="L209" s="154"/>
      <c r="M209" s="155"/>
      <c r="N209" s="144"/>
      <c r="O209" s="144"/>
      <c r="P209" s="144"/>
      <c r="Q209" s="145"/>
      <c r="R209" s="145"/>
      <c r="S209" s="148"/>
      <c r="T209" s="147"/>
      <c r="U209" s="144"/>
      <c r="V209" s="144"/>
    </row>
    <row r="210" spans="1:22" ht="33.75" customHeight="1" x14ac:dyDescent="0.15">
      <c r="A210" s="144"/>
      <c r="B210" s="144"/>
      <c r="C210" s="145"/>
      <c r="D210" s="145"/>
      <c r="E210" s="148"/>
      <c r="F210" s="147"/>
      <c r="G210" s="144"/>
      <c r="H210" s="144"/>
      <c r="I210" s="144"/>
      <c r="J210" s="145"/>
      <c r="K210" s="145"/>
      <c r="L210" s="154"/>
      <c r="M210" s="155"/>
      <c r="N210" s="144"/>
      <c r="O210" s="144"/>
      <c r="P210" s="144"/>
      <c r="Q210" s="145"/>
      <c r="R210" s="145"/>
      <c r="S210" s="148"/>
      <c r="T210" s="147"/>
      <c r="U210" s="144"/>
      <c r="V210" s="144"/>
    </row>
    <row r="211" spans="1:22" ht="33.75" customHeight="1" x14ac:dyDescent="0.15">
      <c r="A211" s="144"/>
      <c r="B211" s="144"/>
      <c r="C211" s="145"/>
      <c r="D211" s="145"/>
      <c r="E211" s="148"/>
      <c r="F211" s="147"/>
      <c r="G211" s="144"/>
      <c r="H211" s="144"/>
      <c r="I211" s="144"/>
      <c r="J211" s="145"/>
      <c r="K211" s="145"/>
      <c r="L211" s="154"/>
      <c r="M211" s="155"/>
      <c r="N211" s="144"/>
      <c r="O211" s="144"/>
      <c r="P211" s="144"/>
      <c r="Q211" s="145"/>
      <c r="R211" s="145"/>
      <c r="S211" s="148"/>
      <c r="T211" s="147"/>
      <c r="U211" s="144"/>
      <c r="V211" s="144"/>
    </row>
    <row r="212" spans="1:22" ht="33.75" customHeight="1" x14ac:dyDescent="0.15">
      <c r="A212" s="144"/>
      <c r="B212" s="144"/>
      <c r="C212" s="145"/>
      <c r="D212" s="145"/>
      <c r="E212" s="148"/>
      <c r="F212" s="147"/>
      <c r="G212" s="144"/>
      <c r="H212" s="144"/>
      <c r="I212" s="144"/>
      <c r="J212" s="145"/>
      <c r="K212" s="145"/>
      <c r="L212" s="154"/>
      <c r="M212" s="155"/>
      <c r="N212" s="144"/>
      <c r="O212" s="144"/>
      <c r="P212" s="144"/>
      <c r="Q212" s="145"/>
      <c r="R212" s="145"/>
      <c r="S212" s="148"/>
      <c r="T212" s="147"/>
      <c r="U212" s="144"/>
      <c r="V212" s="144"/>
    </row>
    <row r="213" spans="1:22" ht="33.75" customHeight="1" x14ac:dyDescent="0.15">
      <c r="A213" s="144"/>
      <c r="B213" s="144"/>
      <c r="C213" s="145"/>
      <c r="D213" s="145"/>
      <c r="E213" s="148"/>
      <c r="F213" s="147"/>
      <c r="G213" s="144"/>
      <c r="H213" s="144"/>
      <c r="I213" s="144"/>
      <c r="J213" s="145"/>
      <c r="K213" s="145"/>
      <c r="L213" s="154"/>
      <c r="M213" s="155"/>
      <c r="N213" s="144"/>
      <c r="O213" s="144"/>
      <c r="P213" s="144"/>
      <c r="Q213" s="145"/>
      <c r="R213" s="145"/>
      <c r="S213" s="148"/>
      <c r="T213" s="147"/>
      <c r="U213" s="144"/>
      <c r="V213" s="144"/>
    </row>
    <row r="214" spans="1:22" ht="33.75" customHeight="1" x14ac:dyDescent="0.15">
      <c r="A214" s="144"/>
      <c r="B214" s="144"/>
      <c r="C214" s="145"/>
      <c r="D214" s="145"/>
      <c r="E214" s="148"/>
      <c r="F214" s="147"/>
      <c r="G214" s="144"/>
      <c r="H214" s="144"/>
      <c r="I214" s="144"/>
      <c r="J214" s="145"/>
      <c r="K214" s="145"/>
      <c r="L214" s="154"/>
      <c r="M214" s="155"/>
      <c r="N214" s="144"/>
      <c r="O214" s="144"/>
      <c r="P214" s="144"/>
      <c r="Q214" s="145"/>
      <c r="R214" s="145"/>
      <c r="S214" s="148"/>
      <c r="T214" s="147"/>
      <c r="U214" s="144"/>
      <c r="V214" s="144"/>
    </row>
    <row r="215" spans="1:22" ht="33.75" customHeight="1" x14ac:dyDescent="0.15">
      <c r="A215" s="144"/>
      <c r="B215" s="144"/>
      <c r="C215" s="145"/>
      <c r="D215" s="145"/>
      <c r="E215" s="148"/>
      <c r="F215" s="147"/>
      <c r="G215" s="144"/>
      <c r="H215" s="144"/>
      <c r="I215" s="144"/>
      <c r="J215" s="145"/>
      <c r="K215" s="145"/>
      <c r="L215" s="154"/>
      <c r="M215" s="155"/>
      <c r="N215" s="144"/>
      <c r="O215" s="144"/>
      <c r="P215" s="144"/>
      <c r="Q215" s="145"/>
      <c r="R215" s="145"/>
      <c r="S215" s="148"/>
      <c r="T215" s="147"/>
      <c r="U215" s="144"/>
      <c r="V215" s="144"/>
    </row>
    <row r="216" spans="1:22" ht="33.75" customHeight="1" x14ac:dyDescent="0.15">
      <c r="A216" s="144"/>
      <c r="B216" s="144"/>
      <c r="C216" s="145"/>
      <c r="D216" s="145"/>
      <c r="E216" s="148"/>
      <c r="F216" s="147"/>
      <c r="G216" s="144"/>
      <c r="H216" s="144"/>
      <c r="I216" s="144"/>
      <c r="J216" s="145"/>
      <c r="K216" s="145"/>
      <c r="L216" s="154"/>
      <c r="M216" s="155"/>
      <c r="N216" s="144"/>
      <c r="O216" s="144"/>
      <c r="P216" s="144"/>
      <c r="Q216" s="145"/>
      <c r="R216" s="145"/>
      <c r="S216" s="148"/>
      <c r="T216" s="147"/>
      <c r="U216" s="144"/>
      <c r="V216" s="144"/>
    </row>
    <row r="217" spans="1:22" ht="33.75" customHeight="1" x14ac:dyDescent="0.15">
      <c r="A217" s="144"/>
      <c r="B217" s="144"/>
      <c r="C217" s="145"/>
      <c r="D217" s="145"/>
      <c r="E217" s="148"/>
      <c r="F217" s="147"/>
      <c r="G217" s="144"/>
      <c r="H217" s="144"/>
      <c r="I217" s="144"/>
      <c r="J217" s="145"/>
      <c r="K217" s="145"/>
      <c r="L217" s="154"/>
      <c r="M217" s="155"/>
      <c r="N217" s="144"/>
      <c r="O217" s="144"/>
      <c r="P217" s="144"/>
      <c r="Q217" s="145"/>
      <c r="R217" s="145"/>
      <c r="S217" s="148"/>
      <c r="T217" s="147"/>
      <c r="U217" s="144"/>
      <c r="V217" s="144"/>
    </row>
    <row r="218" spans="1:22" ht="33.75" customHeight="1" x14ac:dyDescent="0.15">
      <c r="A218" s="144"/>
      <c r="B218" s="144"/>
      <c r="C218" s="145"/>
      <c r="D218" s="145"/>
      <c r="E218" s="148"/>
      <c r="F218" s="147"/>
      <c r="G218" s="144"/>
      <c r="H218" s="144"/>
      <c r="I218" s="144"/>
      <c r="J218" s="145"/>
      <c r="K218" s="145"/>
      <c r="L218" s="154"/>
      <c r="M218" s="155"/>
      <c r="N218" s="144"/>
      <c r="O218" s="144"/>
      <c r="P218" s="144"/>
      <c r="Q218" s="145"/>
      <c r="R218" s="145"/>
      <c r="S218" s="148"/>
      <c r="T218" s="147"/>
      <c r="U218" s="144"/>
      <c r="V218" s="144"/>
    </row>
    <row r="219" spans="1:22" ht="33.75" customHeight="1" x14ac:dyDescent="0.15">
      <c r="A219" s="144"/>
      <c r="B219" s="144"/>
      <c r="C219" s="145"/>
      <c r="D219" s="145"/>
      <c r="E219" s="148"/>
      <c r="F219" s="147"/>
      <c r="G219" s="144"/>
      <c r="H219" s="144"/>
      <c r="I219" s="144"/>
      <c r="J219" s="145"/>
      <c r="K219" s="145"/>
      <c r="L219" s="154"/>
      <c r="M219" s="155"/>
      <c r="N219" s="144"/>
      <c r="O219" s="144"/>
      <c r="P219" s="144"/>
      <c r="Q219" s="145"/>
      <c r="R219" s="145"/>
      <c r="S219" s="148"/>
      <c r="T219" s="147"/>
      <c r="U219" s="144"/>
      <c r="V219" s="144"/>
    </row>
    <row r="220" spans="1:22" ht="33.75" customHeight="1" x14ac:dyDescent="0.15">
      <c r="A220" s="144"/>
      <c r="B220" s="144"/>
      <c r="C220" s="145"/>
      <c r="D220" s="145"/>
      <c r="E220" s="148"/>
      <c r="F220" s="147"/>
      <c r="G220" s="144"/>
      <c r="H220" s="144"/>
      <c r="I220" s="144"/>
      <c r="J220" s="145"/>
      <c r="K220" s="145"/>
      <c r="L220" s="154"/>
      <c r="M220" s="155"/>
      <c r="N220" s="144"/>
      <c r="O220" s="144"/>
      <c r="P220" s="144"/>
      <c r="Q220" s="145"/>
      <c r="R220" s="145"/>
      <c r="S220" s="148"/>
      <c r="T220" s="147"/>
      <c r="U220" s="144"/>
      <c r="V220" s="144"/>
    </row>
    <row r="221" spans="1:22" ht="33.75" customHeight="1" x14ac:dyDescent="0.15">
      <c r="A221" s="144"/>
      <c r="B221" s="144"/>
      <c r="C221" s="145"/>
      <c r="D221" s="145"/>
      <c r="E221" s="148"/>
      <c r="F221" s="147"/>
      <c r="G221" s="144"/>
      <c r="H221" s="144"/>
      <c r="I221" s="144"/>
      <c r="J221" s="145"/>
      <c r="K221" s="145"/>
      <c r="L221" s="154"/>
      <c r="M221" s="155"/>
      <c r="N221" s="144"/>
      <c r="O221" s="144"/>
      <c r="P221" s="144"/>
      <c r="Q221" s="145"/>
      <c r="R221" s="145"/>
      <c r="S221" s="148"/>
      <c r="T221" s="147"/>
      <c r="U221" s="144"/>
      <c r="V221" s="144"/>
    </row>
    <row r="222" spans="1:22" ht="33.75" customHeight="1" x14ac:dyDescent="0.15">
      <c r="A222" s="144"/>
      <c r="B222" s="144"/>
      <c r="C222" s="145"/>
      <c r="D222" s="145"/>
      <c r="E222" s="148"/>
      <c r="F222" s="147"/>
      <c r="G222" s="144"/>
      <c r="H222" s="144"/>
      <c r="I222" s="144"/>
      <c r="J222" s="145"/>
      <c r="K222" s="145"/>
      <c r="L222" s="154"/>
      <c r="M222" s="155"/>
      <c r="N222" s="144"/>
      <c r="O222" s="144"/>
      <c r="P222" s="144"/>
      <c r="Q222" s="145"/>
      <c r="R222" s="145"/>
      <c r="S222" s="148"/>
      <c r="T222" s="147"/>
      <c r="U222" s="144"/>
      <c r="V222" s="144"/>
    </row>
    <row r="223" spans="1:22" ht="33.75" customHeight="1" x14ac:dyDescent="0.15">
      <c r="A223" s="144"/>
      <c r="B223" s="144"/>
      <c r="C223" s="145"/>
      <c r="D223" s="145"/>
      <c r="E223" s="148"/>
      <c r="F223" s="147"/>
      <c r="G223" s="144"/>
      <c r="H223" s="144"/>
      <c r="I223" s="144"/>
      <c r="J223" s="145"/>
      <c r="K223" s="145"/>
      <c r="L223" s="154"/>
      <c r="M223" s="155"/>
      <c r="N223" s="144"/>
      <c r="O223" s="144"/>
      <c r="P223" s="144"/>
      <c r="Q223" s="145"/>
      <c r="R223" s="145"/>
      <c r="S223" s="148"/>
      <c r="T223" s="147"/>
      <c r="U223" s="144"/>
      <c r="V223" s="144"/>
    </row>
    <row r="224" spans="1:22" ht="33.75" customHeight="1" x14ac:dyDescent="0.15">
      <c r="A224" s="144"/>
      <c r="B224" s="144"/>
      <c r="C224" s="145"/>
      <c r="D224" s="145"/>
      <c r="E224" s="148"/>
      <c r="F224" s="147"/>
      <c r="G224" s="144"/>
      <c r="H224" s="144"/>
      <c r="I224" s="144"/>
      <c r="J224" s="145"/>
      <c r="K224" s="145"/>
      <c r="L224" s="154"/>
      <c r="M224" s="155"/>
      <c r="N224" s="144"/>
      <c r="O224" s="144"/>
      <c r="P224" s="144"/>
      <c r="Q224" s="145"/>
      <c r="R224" s="145"/>
      <c r="S224" s="148"/>
      <c r="T224" s="147"/>
      <c r="U224" s="144"/>
      <c r="V224" s="144"/>
    </row>
    <row r="225" spans="1:22" ht="33.75" customHeight="1" x14ac:dyDescent="0.15">
      <c r="A225" s="144"/>
      <c r="B225" s="144"/>
      <c r="C225" s="145"/>
      <c r="D225" s="145"/>
      <c r="E225" s="148"/>
      <c r="F225" s="147"/>
      <c r="G225" s="144"/>
      <c r="H225" s="144"/>
      <c r="I225" s="144"/>
      <c r="J225" s="145"/>
      <c r="K225" s="145"/>
      <c r="L225" s="154"/>
      <c r="M225" s="155"/>
      <c r="N225" s="144"/>
      <c r="O225" s="144"/>
      <c r="P225" s="144"/>
      <c r="Q225" s="145"/>
      <c r="R225" s="145"/>
      <c r="S225" s="148"/>
      <c r="T225" s="147"/>
      <c r="U225" s="144"/>
      <c r="V225" s="144"/>
    </row>
    <row r="226" spans="1:22" ht="33.75" customHeight="1" x14ac:dyDescent="0.15">
      <c r="A226" s="144"/>
      <c r="B226" s="144"/>
      <c r="C226" s="145"/>
      <c r="D226" s="145"/>
      <c r="E226" s="148"/>
      <c r="F226" s="147"/>
      <c r="G226" s="144"/>
      <c r="H226" s="144"/>
      <c r="I226" s="144"/>
      <c r="J226" s="145"/>
      <c r="K226" s="145"/>
      <c r="L226" s="154"/>
      <c r="M226" s="155"/>
      <c r="N226" s="144"/>
      <c r="O226" s="144"/>
      <c r="P226" s="144"/>
      <c r="Q226" s="145"/>
      <c r="R226" s="145"/>
      <c r="S226" s="148"/>
      <c r="T226" s="147"/>
      <c r="U226" s="144"/>
      <c r="V226" s="144"/>
    </row>
    <row r="227" spans="1:22" ht="33.75" customHeight="1" x14ac:dyDescent="0.15">
      <c r="A227" s="144"/>
      <c r="B227" s="144"/>
      <c r="C227" s="145"/>
      <c r="D227" s="145"/>
      <c r="E227" s="148"/>
      <c r="F227" s="147"/>
      <c r="G227" s="144"/>
      <c r="H227" s="144"/>
      <c r="I227" s="144"/>
      <c r="J227" s="145"/>
      <c r="K227" s="145"/>
      <c r="L227" s="154"/>
      <c r="M227" s="155"/>
      <c r="N227" s="144"/>
      <c r="O227" s="144"/>
      <c r="P227" s="144"/>
      <c r="Q227" s="145"/>
      <c r="R227" s="145"/>
      <c r="S227" s="148"/>
      <c r="T227" s="147"/>
      <c r="U227" s="144"/>
      <c r="V227" s="144"/>
    </row>
    <row r="228" spans="1:22" ht="33.75" customHeight="1" x14ac:dyDescent="0.15">
      <c r="A228" s="144"/>
      <c r="B228" s="144"/>
      <c r="C228" s="145"/>
      <c r="D228" s="145"/>
      <c r="E228" s="148"/>
      <c r="F228" s="147"/>
      <c r="G228" s="144"/>
      <c r="H228" s="144"/>
      <c r="I228" s="144"/>
      <c r="J228" s="145"/>
      <c r="K228" s="145"/>
      <c r="L228" s="154"/>
      <c r="M228" s="155"/>
      <c r="N228" s="144"/>
      <c r="O228" s="144"/>
      <c r="P228" s="144"/>
      <c r="Q228" s="145"/>
      <c r="R228" s="145"/>
      <c r="S228" s="148"/>
      <c r="T228" s="147"/>
      <c r="U228" s="144"/>
      <c r="V228" s="144"/>
    </row>
    <row r="229" spans="1:22" ht="33.75" customHeight="1" x14ac:dyDescent="0.15">
      <c r="A229" s="144"/>
      <c r="B229" s="144"/>
      <c r="C229" s="145"/>
      <c r="D229" s="145"/>
      <c r="E229" s="148"/>
      <c r="F229" s="147"/>
      <c r="G229" s="144"/>
      <c r="H229" s="144"/>
      <c r="I229" s="144"/>
      <c r="J229" s="145"/>
      <c r="K229" s="145"/>
      <c r="L229" s="154"/>
      <c r="M229" s="155"/>
      <c r="N229" s="144"/>
      <c r="O229" s="144"/>
      <c r="P229" s="144"/>
      <c r="Q229" s="145"/>
      <c r="R229" s="145"/>
      <c r="S229" s="148"/>
      <c r="T229" s="147"/>
      <c r="U229" s="144"/>
      <c r="V229" s="144"/>
    </row>
    <row r="230" spans="1:22" ht="33.75" customHeight="1" x14ac:dyDescent="0.15">
      <c r="A230" s="144"/>
      <c r="B230" s="144"/>
      <c r="C230" s="145"/>
      <c r="D230" s="145"/>
      <c r="E230" s="148"/>
      <c r="F230" s="147"/>
      <c r="G230" s="144"/>
      <c r="H230" s="144"/>
      <c r="I230" s="144"/>
      <c r="J230" s="145"/>
      <c r="K230" s="145"/>
      <c r="L230" s="154"/>
      <c r="M230" s="155"/>
      <c r="N230" s="144"/>
      <c r="O230" s="144"/>
      <c r="P230" s="144"/>
      <c r="Q230" s="145"/>
      <c r="R230" s="145"/>
      <c r="S230" s="148"/>
      <c r="T230" s="147"/>
      <c r="U230" s="144"/>
      <c r="V230" s="144"/>
    </row>
    <row r="231" spans="1:22" ht="33.75" customHeight="1" x14ac:dyDescent="0.15">
      <c r="A231" s="144"/>
      <c r="B231" s="144"/>
      <c r="C231" s="145"/>
      <c r="D231" s="145"/>
      <c r="E231" s="148"/>
      <c r="F231" s="147"/>
      <c r="G231" s="144"/>
      <c r="H231" s="144"/>
      <c r="I231" s="144"/>
      <c r="J231" s="145"/>
      <c r="K231" s="145"/>
      <c r="L231" s="154"/>
      <c r="M231" s="155"/>
      <c r="N231" s="144"/>
      <c r="O231" s="144"/>
      <c r="P231" s="144"/>
      <c r="Q231" s="145"/>
      <c r="R231" s="145"/>
      <c r="S231" s="148"/>
      <c r="T231" s="147"/>
      <c r="U231" s="144"/>
      <c r="V231" s="144"/>
    </row>
    <row r="232" spans="1:22" ht="33.75" customHeight="1" x14ac:dyDescent="0.15">
      <c r="A232" s="144"/>
      <c r="B232" s="144"/>
      <c r="C232" s="145"/>
      <c r="D232" s="145"/>
      <c r="E232" s="148"/>
      <c r="F232" s="147"/>
      <c r="G232" s="144"/>
      <c r="H232" s="144"/>
      <c r="I232" s="144"/>
      <c r="J232" s="145"/>
      <c r="K232" s="145"/>
      <c r="L232" s="154"/>
      <c r="M232" s="155"/>
      <c r="N232" s="144"/>
      <c r="O232" s="144"/>
      <c r="P232" s="144"/>
      <c r="Q232" s="145"/>
      <c r="R232" s="145"/>
      <c r="S232" s="148"/>
      <c r="T232" s="147"/>
      <c r="U232" s="144"/>
      <c r="V232" s="144"/>
    </row>
    <row r="233" spans="1:22" ht="33.75" customHeight="1" x14ac:dyDescent="0.15">
      <c r="A233" s="144"/>
      <c r="B233" s="144"/>
      <c r="C233" s="145"/>
      <c r="D233" s="145"/>
      <c r="E233" s="148"/>
      <c r="F233" s="147"/>
      <c r="G233" s="144"/>
      <c r="H233" s="144"/>
      <c r="I233" s="144"/>
      <c r="J233" s="145"/>
      <c r="K233" s="145"/>
      <c r="L233" s="154"/>
      <c r="M233" s="155"/>
      <c r="N233" s="144"/>
      <c r="O233" s="144"/>
      <c r="P233" s="144"/>
      <c r="Q233" s="145"/>
      <c r="R233" s="145"/>
      <c r="S233" s="148"/>
      <c r="T233" s="147"/>
      <c r="U233" s="144"/>
      <c r="V233" s="144"/>
    </row>
    <row r="234" spans="1:22" ht="33.75" customHeight="1" x14ac:dyDescent="0.15">
      <c r="A234" s="144"/>
      <c r="B234" s="144"/>
      <c r="C234" s="145"/>
      <c r="D234" s="145"/>
      <c r="E234" s="148"/>
      <c r="F234" s="147"/>
      <c r="G234" s="144"/>
      <c r="H234" s="144"/>
      <c r="I234" s="144"/>
      <c r="J234" s="145"/>
      <c r="K234" s="145"/>
      <c r="L234" s="154"/>
      <c r="M234" s="155"/>
      <c r="N234" s="144"/>
      <c r="O234" s="144"/>
      <c r="P234" s="144"/>
      <c r="Q234" s="145"/>
      <c r="R234" s="145"/>
      <c r="S234" s="148"/>
      <c r="T234" s="147"/>
      <c r="U234" s="144"/>
      <c r="V234" s="144"/>
    </row>
    <row r="235" spans="1:22" ht="33.75" customHeight="1" x14ac:dyDescent="0.15">
      <c r="A235" s="144"/>
      <c r="B235" s="144"/>
      <c r="C235" s="145"/>
      <c r="D235" s="145"/>
      <c r="E235" s="148"/>
      <c r="F235" s="147"/>
      <c r="G235" s="144"/>
      <c r="H235" s="144"/>
      <c r="I235" s="144"/>
      <c r="J235" s="145"/>
      <c r="K235" s="145"/>
      <c r="L235" s="154"/>
      <c r="M235" s="155"/>
      <c r="N235" s="144"/>
      <c r="O235" s="144"/>
      <c r="P235" s="144"/>
      <c r="Q235" s="145"/>
      <c r="R235" s="145"/>
      <c r="S235" s="148"/>
      <c r="T235" s="147"/>
      <c r="U235" s="144"/>
      <c r="V235" s="144"/>
    </row>
    <row r="236" spans="1:22" ht="33.75" customHeight="1" x14ac:dyDescent="0.15">
      <c r="A236" s="144"/>
      <c r="B236" s="144"/>
      <c r="C236" s="145"/>
      <c r="D236" s="145"/>
      <c r="E236" s="148"/>
      <c r="F236" s="147"/>
      <c r="G236" s="144"/>
      <c r="H236" s="144"/>
      <c r="I236" s="144"/>
      <c r="J236" s="145"/>
      <c r="K236" s="145"/>
      <c r="L236" s="154"/>
      <c r="M236" s="155"/>
      <c r="N236" s="144"/>
      <c r="O236" s="144"/>
      <c r="P236" s="144"/>
      <c r="Q236" s="145"/>
      <c r="R236" s="145"/>
      <c r="S236" s="148"/>
      <c r="T236" s="147"/>
      <c r="U236" s="144"/>
      <c r="V236" s="144"/>
    </row>
    <row r="237" spans="1:22" ht="33.75" customHeight="1" x14ac:dyDescent="0.15">
      <c r="A237" s="144"/>
      <c r="B237" s="144"/>
      <c r="C237" s="145"/>
      <c r="D237" s="145"/>
      <c r="E237" s="148"/>
      <c r="F237" s="147"/>
      <c r="G237" s="144"/>
      <c r="H237" s="144"/>
      <c r="I237" s="144"/>
      <c r="J237" s="145"/>
      <c r="K237" s="145"/>
      <c r="L237" s="154"/>
      <c r="M237" s="155"/>
      <c r="N237" s="144"/>
      <c r="O237" s="144"/>
      <c r="P237" s="144"/>
      <c r="Q237" s="145"/>
      <c r="R237" s="145"/>
      <c r="S237" s="148"/>
      <c r="T237" s="147"/>
      <c r="U237" s="144"/>
      <c r="V237" s="144"/>
    </row>
    <row r="238" spans="1:22" ht="33.75" customHeight="1" x14ac:dyDescent="0.15">
      <c r="A238" s="144"/>
      <c r="B238" s="144"/>
      <c r="C238" s="145"/>
      <c r="D238" s="145"/>
      <c r="E238" s="148"/>
      <c r="F238" s="147"/>
      <c r="G238" s="144"/>
      <c r="H238" s="144"/>
      <c r="I238" s="144"/>
      <c r="J238" s="145"/>
      <c r="K238" s="145"/>
      <c r="L238" s="154"/>
      <c r="M238" s="155"/>
      <c r="N238" s="144"/>
      <c r="O238" s="144"/>
      <c r="P238" s="144"/>
      <c r="Q238" s="145"/>
      <c r="R238" s="145"/>
      <c r="S238" s="148"/>
      <c r="T238" s="147"/>
      <c r="U238" s="144"/>
      <c r="V238" s="144"/>
    </row>
    <row r="239" spans="1:22" ht="33.75" customHeight="1" x14ac:dyDescent="0.15">
      <c r="A239" s="144"/>
      <c r="B239" s="144"/>
      <c r="C239" s="145"/>
      <c r="D239" s="145"/>
      <c r="E239" s="148"/>
      <c r="F239" s="147"/>
      <c r="G239" s="144"/>
      <c r="H239" s="144"/>
      <c r="I239" s="144"/>
      <c r="J239" s="145"/>
      <c r="K239" s="145"/>
      <c r="L239" s="154"/>
      <c r="M239" s="155"/>
      <c r="N239" s="144"/>
      <c r="O239" s="144"/>
      <c r="P239" s="144"/>
      <c r="Q239" s="145"/>
      <c r="R239" s="145"/>
      <c r="S239" s="148"/>
      <c r="T239" s="147"/>
      <c r="U239" s="144"/>
      <c r="V239" s="144"/>
    </row>
    <row r="240" spans="1:22" ht="33.75" customHeight="1" x14ac:dyDescent="0.15">
      <c r="A240" s="144"/>
      <c r="B240" s="144"/>
      <c r="C240" s="145"/>
      <c r="D240" s="145"/>
      <c r="E240" s="148"/>
      <c r="F240" s="147"/>
      <c r="G240" s="144"/>
      <c r="H240" s="144"/>
      <c r="I240" s="144"/>
      <c r="J240" s="145"/>
      <c r="K240" s="145"/>
      <c r="L240" s="154"/>
      <c r="M240" s="155"/>
      <c r="N240" s="144"/>
      <c r="O240" s="144"/>
      <c r="P240" s="144"/>
      <c r="Q240" s="145"/>
      <c r="R240" s="145"/>
      <c r="S240" s="148"/>
      <c r="T240" s="147"/>
      <c r="U240" s="144"/>
      <c r="V240" s="144"/>
    </row>
    <row r="241" spans="1:22" ht="33.75" customHeight="1" x14ac:dyDescent="0.15">
      <c r="A241" s="144"/>
      <c r="B241" s="144"/>
      <c r="C241" s="145"/>
      <c r="D241" s="145"/>
      <c r="E241" s="148"/>
      <c r="F241" s="147"/>
      <c r="G241" s="144"/>
      <c r="H241" s="144"/>
      <c r="I241" s="144"/>
      <c r="J241" s="145"/>
      <c r="K241" s="145"/>
      <c r="L241" s="154"/>
      <c r="M241" s="155"/>
      <c r="N241" s="144"/>
      <c r="O241" s="144"/>
      <c r="P241" s="144"/>
      <c r="Q241" s="145"/>
      <c r="R241" s="145"/>
      <c r="S241" s="148"/>
      <c r="T241" s="147"/>
      <c r="U241" s="144"/>
      <c r="V241" s="144"/>
    </row>
    <row r="242" spans="1:22" ht="33.75" customHeight="1" x14ac:dyDescent="0.15">
      <c r="A242" s="144"/>
      <c r="B242" s="144"/>
      <c r="C242" s="145"/>
      <c r="D242" s="145"/>
      <c r="E242" s="148"/>
      <c r="F242" s="147"/>
      <c r="G242" s="144"/>
      <c r="H242" s="144"/>
      <c r="I242" s="144"/>
      <c r="J242" s="145"/>
      <c r="K242" s="145"/>
      <c r="L242" s="154"/>
      <c r="M242" s="155"/>
      <c r="N242" s="144"/>
      <c r="O242" s="144"/>
      <c r="P242" s="144"/>
      <c r="Q242" s="145"/>
      <c r="R242" s="145"/>
      <c r="S242" s="148"/>
      <c r="T242" s="147"/>
      <c r="U242" s="144"/>
      <c r="V242" s="144"/>
    </row>
    <row r="243" spans="1:22" ht="33.75" customHeight="1" x14ac:dyDescent="0.15">
      <c r="A243" s="144"/>
      <c r="B243" s="144"/>
      <c r="C243" s="145"/>
      <c r="D243" s="145"/>
      <c r="E243" s="148"/>
      <c r="F243" s="147"/>
      <c r="G243" s="144"/>
      <c r="H243" s="144"/>
      <c r="I243" s="144"/>
      <c r="J243" s="145"/>
      <c r="K243" s="145"/>
      <c r="L243" s="154"/>
      <c r="M243" s="155"/>
      <c r="N243" s="144"/>
      <c r="O243" s="144"/>
      <c r="P243" s="144"/>
      <c r="Q243" s="145"/>
      <c r="R243" s="145"/>
      <c r="S243" s="148"/>
      <c r="T243" s="147"/>
      <c r="U243" s="144"/>
      <c r="V243" s="144"/>
    </row>
    <row r="244" spans="1:22" ht="33.75" customHeight="1" x14ac:dyDescent="0.15">
      <c r="A244" s="144"/>
      <c r="B244" s="144"/>
      <c r="C244" s="145"/>
      <c r="D244" s="145"/>
      <c r="E244" s="148"/>
      <c r="F244" s="147"/>
      <c r="G244" s="144"/>
      <c r="H244" s="144"/>
      <c r="I244" s="144"/>
      <c r="J244" s="145"/>
      <c r="K244" s="145"/>
      <c r="L244" s="154"/>
      <c r="M244" s="155"/>
      <c r="N244" s="144"/>
      <c r="O244" s="144"/>
      <c r="P244" s="144"/>
      <c r="Q244" s="145"/>
      <c r="R244" s="145"/>
      <c r="S244" s="148"/>
      <c r="T244" s="147"/>
      <c r="U244" s="144"/>
      <c r="V244" s="144"/>
    </row>
    <row r="245" spans="1:22" ht="33.75" customHeight="1" x14ac:dyDescent="0.15">
      <c r="A245" s="144"/>
      <c r="B245" s="144"/>
      <c r="C245" s="145"/>
      <c r="D245" s="145"/>
      <c r="E245" s="148"/>
      <c r="F245" s="147"/>
      <c r="G245" s="144"/>
      <c r="H245" s="144"/>
      <c r="I245" s="144"/>
      <c r="J245" s="145"/>
      <c r="K245" s="145"/>
      <c r="L245" s="154"/>
      <c r="M245" s="155"/>
      <c r="N245" s="144"/>
      <c r="O245" s="144"/>
      <c r="P245" s="144"/>
      <c r="Q245" s="145"/>
      <c r="R245" s="145"/>
      <c r="S245" s="148"/>
      <c r="T245" s="147"/>
      <c r="U245" s="144"/>
      <c r="V245" s="144"/>
    </row>
    <row r="246" spans="1:22" ht="33.75" customHeight="1" x14ac:dyDescent="0.15">
      <c r="A246" s="144"/>
      <c r="B246" s="144"/>
      <c r="C246" s="145"/>
      <c r="D246" s="145"/>
      <c r="E246" s="148"/>
      <c r="F246" s="147"/>
      <c r="G246" s="144"/>
      <c r="H246" s="144"/>
      <c r="I246" s="144"/>
      <c r="J246" s="145"/>
      <c r="K246" s="145"/>
      <c r="L246" s="154"/>
      <c r="M246" s="155"/>
      <c r="N246" s="144"/>
      <c r="O246" s="144"/>
      <c r="P246" s="144"/>
      <c r="Q246" s="145"/>
      <c r="R246" s="145"/>
      <c r="S246" s="148"/>
      <c r="T246" s="147"/>
      <c r="U246" s="144"/>
      <c r="V246" s="144"/>
    </row>
    <row r="247" spans="1:22" ht="33.75" customHeight="1" x14ac:dyDescent="0.15">
      <c r="A247" s="144"/>
      <c r="B247" s="144"/>
      <c r="C247" s="145"/>
      <c r="D247" s="145"/>
      <c r="E247" s="148"/>
      <c r="F247" s="147"/>
      <c r="G247" s="144"/>
      <c r="H247" s="144"/>
      <c r="I247" s="144"/>
      <c r="J247" s="145"/>
      <c r="K247" s="145"/>
      <c r="L247" s="154"/>
      <c r="M247" s="155"/>
      <c r="N247" s="144"/>
      <c r="O247" s="144"/>
      <c r="P247" s="144"/>
      <c r="Q247" s="145"/>
      <c r="R247" s="145"/>
      <c r="S247" s="148"/>
      <c r="T247" s="147"/>
      <c r="U247" s="144"/>
      <c r="V247" s="144"/>
    </row>
    <row r="248" spans="1:22" ht="33.75" customHeight="1" x14ac:dyDescent="0.15">
      <c r="A248" s="144"/>
      <c r="B248" s="144"/>
      <c r="C248" s="145"/>
      <c r="D248" s="145"/>
      <c r="E248" s="148"/>
      <c r="F248" s="147"/>
      <c r="G248" s="144"/>
      <c r="H248" s="144"/>
      <c r="I248" s="144"/>
      <c r="J248" s="145"/>
      <c r="K248" s="145"/>
      <c r="L248" s="154"/>
      <c r="M248" s="155"/>
      <c r="N248" s="144"/>
      <c r="O248" s="144"/>
      <c r="P248" s="144"/>
      <c r="Q248" s="145"/>
      <c r="R248" s="145"/>
      <c r="S248" s="148"/>
      <c r="T248" s="147"/>
      <c r="U248" s="144"/>
      <c r="V248" s="144"/>
    </row>
    <row r="249" spans="1:22" ht="33.75" customHeight="1" x14ac:dyDescent="0.15">
      <c r="A249" s="144"/>
      <c r="B249" s="144"/>
      <c r="C249" s="145"/>
      <c r="D249" s="145"/>
      <c r="E249" s="148"/>
      <c r="F249" s="147"/>
      <c r="G249" s="144"/>
      <c r="H249" s="144"/>
      <c r="I249" s="144"/>
      <c r="J249" s="145"/>
      <c r="K249" s="145"/>
      <c r="L249" s="154"/>
      <c r="M249" s="155"/>
      <c r="N249" s="144"/>
      <c r="O249" s="144"/>
      <c r="P249" s="144"/>
      <c r="Q249" s="145"/>
      <c r="R249" s="145"/>
      <c r="S249" s="148"/>
      <c r="T249" s="147"/>
      <c r="U249" s="144"/>
      <c r="V249" s="144"/>
    </row>
    <row r="250" spans="1:22" ht="33.75" customHeight="1" x14ac:dyDescent="0.15">
      <c r="A250" s="144"/>
      <c r="B250" s="144"/>
      <c r="C250" s="145"/>
      <c r="D250" s="145"/>
      <c r="E250" s="148"/>
      <c r="F250" s="147"/>
      <c r="G250" s="144"/>
      <c r="H250" s="144"/>
      <c r="I250" s="144"/>
      <c r="J250" s="145"/>
      <c r="K250" s="145"/>
      <c r="L250" s="154"/>
      <c r="M250" s="155"/>
      <c r="N250" s="144"/>
      <c r="O250" s="144"/>
      <c r="P250" s="144"/>
      <c r="Q250" s="145"/>
      <c r="R250" s="145"/>
      <c r="S250" s="148"/>
      <c r="T250" s="147"/>
      <c r="U250" s="144"/>
      <c r="V250" s="144"/>
    </row>
    <row r="251" spans="1:22" ht="33.75" customHeight="1" x14ac:dyDescent="0.15">
      <c r="A251" s="144"/>
      <c r="B251" s="144"/>
      <c r="C251" s="145"/>
      <c r="D251" s="145"/>
      <c r="E251" s="148"/>
      <c r="F251" s="147"/>
      <c r="G251" s="144"/>
      <c r="H251" s="144"/>
      <c r="I251" s="144"/>
      <c r="J251" s="145"/>
      <c r="K251" s="145"/>
      <c r="L251" s="154"/>
      <c r="M251" s="155"/>
      <c r="N251" s="144"/>
      <c r="O251" s="144"/>
      <c r="P251" s="144"/>
      <c r="Q251" s="145"/>
      <c r="R251" s="145"/>
      <c r="S251" s="148"/>
      <c r="T251" s="147"/>
      <c r="U251" s="144"/>
      <c r="V251" s="144"/>
    </row>
    <row r="252" spans="1:22" ht="33.75" customHeight="1" x14ac:dyDescent="0.15">
      <c r="A252" s="144"/>
      <c r="B252" s="144"/>
      <c r="C252" s="145"/>
      <c r="D252" s="145"/>
      <c r="E252" s="148"/>
      <c r="F252" s="147"/>
      <c r="G252" s="144"/>
      <c r="H252" s="144"/>
      <c r="I252" s="144"/>
      <c r="J252" s="145"/>
      <c r="K252" s="145"/>
      <c r="L252" s="154"/>
      <c r="M252" s="155"/>
      <c r="N252" s="144"/>
      <c r="O252" s="144"/>
      <c r="P252" s="144"/>
      <c r="Q252" s="145"/>
      <c r="R252" s="145"/>
      <c r="S252" s="148"/>
      <c r="T252" s="147"/>
      <c r="U252" s="144"/>
      <c r="V252" s="144"/>
    </row>
    <row r="253" spans="1:22" ht="33.75" customHeight="1" x14ac:dyDescent="0.15">
      <c r="A253" s="144"/>
      <c r="B253" s="144"/>
      <c r="C253" s="145"/>
      <c r="D253" s="145"/>
      <c r="E253" s="148"/>
      <c r="F253" s="147"/>
      <c r="G253" s="144"/>
      <c r="H253" s="144"/>
      <c r="I253" s="144"/>
      <c r="J253" s="145"/>
      <c r="K253" s="145"/>
      <c r="L253" s="154"/>
      <c r="M253" s="155"/>
      <c r="N253" s="144"/>
      <c r="O253" s="144"/>
      <c r="P253" s="144"/>
      <c r="Q253" s="145"/>
      <c r="R253" s="145"/>
      <c r="S253" s="148"/>
      <c r="T253" s="147"/>
      <c r="U253" s="144"/>
      <c r="V253" s="144"/>
    </row>
    <row r="254" spans="1:22" ht="33.75" customHeight="1" x14ac:dyDescent="0.15">
      <c r="A254" s="144"/>
      <c r="B254" s="144"/>
      <c r="C254" s="145"/>
      <c r="D254" s="145"/>
      <c r="E254" s="148"/>
      <c r="F254" s="147"/>
      <c r="G254" s="144"/>
      <c r="H254" s="144"/>
      <c r="I254" s="144"/>
      <c r="J254" s="145"/>
      <c r="K254" s="145"/>
      <c r="L254" s="154"/>
      <c r="M254" s="155"/>
      <c r="N254" s="144"/>
      <c r="O254" s="144"/>
      <c r="P254" s="144"/>
      <c r="Q254" s="145"/>
      <c r="R254" s="145"/>
      <c r="S254" s="148"/>
      <c r="T254" s="147"/>
      <c r="U254" s="144"/>
      <c r="V254" s="144"/>
    </row>
    <row r="255" spans="1:22" ht="33.75" customHeight="1" x14ac:dyDescent="0.15">
      <c r="A255" s="144"/>
      <c r="B255" s="144"/>
      <c r="C255" s="145"/>
      <c r="D255" s="145"/>
      <c r="E255" s="148"/>
      <c r="F255" s="147"/>
      <c r="G255" s="144"/>
      <c r="H255" s="144"/>
      <c r="I255" s="144"/>
      <c r="J255" s="145"/>
      <c r="K255" s="145"/>
      <c r="L255" s="154"/>
      <c r="M255" s="155"/>
      <c r="N255" s="144"/>
      <c r="O255" s="144"/>
      <c r="P255" s="144"/>
      <c r="Q255" s="145"/>
      <c r="R255" s="145"/>
      <c r="S255" s="148"/>
      <c r="T255" s="147"/>
      <c r="U255" s="144"/>
      <c r="V255" s="144"/>
    </row>
    <row r="256" spans="1:22" ht="33.75" customHeight="1" x14ac:dyDescent="0.15">
      <c r="A256" s="144"/>
      <c r="B256" s="144"/>
      <c r="C256" s="145"/>
      <c r="D256" s="145"/>
      <c r="E256" s="148"/>
      <c r="F256" s="147"/>
      <c r="G256" s="144"/>
      <c r="H256" s="144"/>
      <c r="I256" s="144"/>
      <c r="J256" s="145"/>
      <c r="K256" s="145"/>
      <c r="L256" s="154"/>
      <c r="M256" s="155"/>
      <c r="N256" s="144"/>
      <c r="O256" s="144"/>
      <c r="P256" s="144"/>
      <c r="Q256" s="145"/>
      <c r="R256" s="145"/>
      <c r="S256" s="148"/>
      <c r="T256" s="147"/>
      <c r="U256" s="144"/>
      <c r="V256" s="144"/>
    </row>
    <row r="257" spans="1:22" ht="33.75" customHeight="1" x14ac:dyDescent="0.15">
      <c r="A257" s="144"/>
      <c r="B257" s="144"/>
      <c r="C257" s="145"/>
      <c r="D257" s="145"/>
      <c r="E257" s="148"/>
      <c r="F257" s="147"/>
      <c r="G257" s="144"/>
      <c r="H257" s="144"/>
      <c r="I257" s="144"/>
      <c r="J257" s="145"/>
      <c r="K257" s="145"/>
      <c r="L257" s="154"/>
      <c r="M257" s="155"/>
      <c r="N257" s="144"/>
      <c r="O257" s="144"/>
      <c r="P257" s="144"/>
      <c r="Q257" s="145"/>
      <c r="R257" s="145"/>
      <c r="S257" s="148"/>
      <c r="T257" s="147"/>
      <c r="U257" s="144"/>
      <c r="V257" s="144"/>
    </row>
    <row r="258" spans="1:22" ht="33.75" customHeight="1" x14ac:dyDescent="0.15">
      <c r="A258" s="144"/>
      <c r="B258" s="144"/>
      <c r="C258" s="145"/>
      <c r="D258" s="145"/>
      <c r="E258" s="148"/>
      <c r="F258" s="147"/>
      <c r="G258" s="144"/>
      <c r="H258" s="144"/>
      <c r="I258" s="144"/>
      <c r="J258" s="145"/>
      <c r="K258" s="145"/>
      <c r="L258" s="154"/>
      <c r="M258" s="155"/>
      <c r="N258" s="144"/>
      <c r="O258" s="144"/>
      <c r="P258" s="144"/>
      <c r="Q258" s="145"/>
      <c r="R258" s="145"/>
      <c r="S258" s="148"/>
      <c r="T258" s="147"/>
      <c r="U258" s="144"/>
      <c r="V258" s="144"/>
    </row>
    <row r="259" spans="1:22" ht="33.75" customHeight="1" x14ac:dyDescent="0.15">
      <c r="A259" s="144"/>
      <c r="B259" s="144"/>
      <c r="C259" s="145"/>
      <c r="D259" s="145"/>
      <c r="E259" s="148"/>
      <c r="F259" s="147"/>
      <c r="G259" s="144"/>
      <c r="H259" s="144"/>
      <c r="I259" s="144"/>
      <c r="J259" s="145"/>
      <c r="K259" s="145"/>
      <c r="L259" s="154"/>
      <c r="M259" s="155"/>
      <c r="N259" s="144"/>
      <c r="O259" s="144"/>
      <c r="P259" s="144"/>
      <c r="Q259" s="145"/>
      <c r="R259" s="145"/>
      <c r="S259" s="148"/>
      <c r="T259" s="147"/>
      <c r="U259" s="144"/>
      <c r="V259" s="144"/>
    </row>
    <row r="260" spans="1:22" ht="33.75" customHeight="1" x14ac:dyDescent="0.15">
      <c r="A260" s="144"/>
      <c r="B260" s="144"/>
      <c r="C260" s="145"/>
      <c r="D260" s="145"/>
      <c r="E260" s="148"/>
      <c r="F260" s="147"/>
      <c r="G260" s="144"/>
      <c r="H260" s="144"/>
      <c r="I260" s="144"/>
      <c r="J260" s="145"/>
      <c r="K260" s="145"/>
      <c r="L260" s="154"/>
      <c r="M260" s="155"/>
      <c r="N260" s="144"/>
      <c r="O260" s="144"/>
      <c r="P260" s="144"/>
      <c r="Q260" s="145"/>
      <c r="R260" s="145"/>
      <c r="S260" s="148"/>
      <c r="T260" s="147"/>
      <c r="U260" s="144"/>
      <c r="V260" s="144"/>
    </row>
    <row r="261" spans="1:22" ht="33.75" customHeight="1" x14ac:dyDescent="0.15">
      <c r="A261" s="144"/>
      <c r="B261" s="144"/>
      <c r="C261" s="145"/>
      <c r="D261" s="145"/>
      <c r="E261" s="148"/>
      <c r="F261" s="147"/>
      <c r="G261" s="144"/>
      <c r="H261" s="144"/>
      <c r="I261" s="144"/>
      <c r="J261" s="145"/>
      <c r="K261" s="145"/>
      <c r="L261" s="154"/>
      <c r="M261" s="155"/>
      <c r="N261" s="144"/>
      <c r="O261" s="144"/>
      <c r="P261" s="144"/>
      <c r="Q261" s="145"/>
      <c r="R261" s="145"/>
      <c r="S261" s="148"/>
      <c r="T261" s="147"/>
      <c r="U261" s="144"/>
      <c r="V261" s="144"/>
    </row>
    <row r="262" spans="1:22" ht="33.75" customHeight="1" x14ac:dyDescent="0.15">
      <c r="A262" s="144"/>
      <c r="B262" s="144"/>
      <c r="C262" s="145"/>
      <c r="D262" s="145"/>
      <c r="E262" s="148"/>
      <c r="F262" s="147"/>
      <c r="G262" s="144"/>
      <c r="H262" s="144"/>
      <c r="I262" s="144"/>
      <c r="J262" s="145"/>
      <c r="K262" s="145"/>
      <c r="L262" s="154"/>
      <c r="M262" s="155"/>
      <c r="N262" s="144"/>
      <c r="O262" s="144"/>
      <c r="P262" s="144"/>
      <c r="Q262" s="145"/>
      <c r="R262" s="145"/>
      <c r="S262" s="148"/>
      <c r="T262" s="147"/>
      <c r="U262" s="144"/>
      <c r="V262" s="144"/>
    </row>
    <row r="263" spans="1:22" ht="33.75" customHeight="1" x14ac:dyDescent="0.15">
      <c r="A263" s="144"/>
      <c r="B263" s="144"/>
      <c r="C263" s="145"/>
      <c r="D263" s="145"/>
      <c r="E263" s="148"/>
      <c r="F263" s="147"/>
      <c r="G263" s="144"/>
      <c r="H263" s="144"/>
      <c r="I263" s="144"/>
      <c r="J263" s="145"/>
      <c r="K263" s="145"/>
      <c r="L263" s="154"/>
      <c r="M263" s="155"/>
      <c r="N263" s="144"/>
      <c r="O263" s="144"/>
      <c r="P263" s="144"/>
      <c r="Q263" s="145"/>
      <c r="R263" s="145"/>
      <c r="S263" s="148"/>
      <c r="T263" s="147"/>
      <c r="U263" s="144"/>
      <c r="V263" s="144"/>
    </row>
    <row r="264" spans="1:22" ht="33.75" customHeight="1" x14ac:dyDescent="0.15">
      <c r="A264" s="144"/>
      <c r="B264" s="144"/>
      <c r="C264" s="145"/>
      <c r="D264" s="145"/>
      <c r="E264" s="148"/>
      <c r="F264" s="147"/>
      <c r="G264" s="144"/>
      <c r="H264" s="144"/>
      <c r="I264" s="144"/>
      <c r="J264" s="145"/>
      <c r="K264" s="145"/>
      <c r="L264" s="154"/>
      <c r="M264" s="155"/>
      <c r="N264" s="144"/>
      <c r="O264" s="144"/>
      <c r="P264" s="144"/>
      <c r="Q264" s="145"/>
      <c r="R264" s="145"/>
      <c r="S264" s="148"/>
      <c r="T264" s="147"/>
      <c r="U264" s="144"/>
      <c r="V264" s="144"/>
    </row>
    <row r="265" spans="1:22" ht="33.75" customHeight="1" x14ac:dyDescent="0.15">
      <c r="A265" s="144"/>
      <c r="B265" s="144"/>
      <c r="C265" s="145"/>
      <c r="D265" s="145"/>
      <c r="E265" s="148"/>
      <c r="F265" s="147"/>
      <c r="G265" s="144"/>
      <c r="H265" s="144"/>
      <c r="I265" s="144"/>
      <c r="J265" s="145"/>
      <c r="K265" s="145"/>
      <c r="L265" s="154"/>
      <c r="M265" s="155"/>
      <c r="N265" s="144"/>
      <c r="O265" s="144"/>
      <c r="P265" s="144"/>
      <c r="Q265" s="145"/>
      <c r="R265" s="145"/>
      <c r="S265" s="148"/>
      <c r="T265" s="147"/>
      <c r="U265" s="144"/>
      <c r="V265" s="144"/>
    </row>
    <row r="266" spans="1:22" ht="33.75" customHeight="1" x14ac:dyDescent="0.15">
      <c r="A266" s="144"/>
      <c r="B266" s="144"/>
      <c r="C266" s="145"/>
      <c r="D266" s="145"/>
      <c r="E266" s="148"/>
      <c r="F266" s="147"/>
      <c r="G266" s="144"/>
      <c r="H266" s="144"/>
      <c r="I266" s="144"/>
      <c r="J266" s="145"/>
      <c r="K266" s="145"/>
      <c r="L266" s="154"/>
      <c r="M266" s="155"/>
      <c r="N266" s="144"/>
      <c r="O266" s="144"/>
      <c r="P266" s="144"/>
      <c r="Q266" s="145"/>
      <c r="R266" s="145"/>
      <c r="S266" s="148"/>
      <c r="T266" s="147"/>
      <c r="U266" s="144"/>
      <c r="V266" s="144"/>
    </row>
    <row r="267" spans="1:22" ht="33.75" customHeight="1" x14ac:dyDescent="0.15">
      <c r="A267" s="144"/>
      <c r="B267" s="144"/>
      <c r="C267" s="145"/>
      <c r="D267" s="145"/>
      <c r="E267" s="148"/>
      <c r="F267" s="147"/>
      <c r="G267" s="144"/>
      <c r="H267" s="144"/>
      <c r="I267" s="144"/>
      <c r="J267" s="145"/>
      <c r="K267" s="145"/>
      <c r="L267" s="154"/>
      <c r="M267" s="155"/>
      <c r="N267" s="144"/>
      <c r="O267" s="144"/>
      <c r="P267" s="144"/>
      <c r="Q267" s="145"/>
      <c r="R267" s="145"/>
      <c r="S267" s="148"/>
      <c r="T267" s="147"/>
      <c r="U267" s="144"/>
      <c r="V267" s="144"/>
    </row>
    <row r="268" spans="1:22" ht="33.75" customHeight="1" x14ac:dyDescent="0.15">
      <c r="A268" s="144"/>
      <c r="B268" s="144"/>
      <c r="C268" s="145"/>
      <c r="D268" s="145"/>
      <c r="E268" s="148"/>
      <c r="F268" s="147"/>
      <c r="G268" s="144"/>
      <c r="H268" s="144"/>
      <c r="I268" s="144"/>
      <c r="J268" s="145"/>
      <c r="K268" s="145"/>
      <c r="L268" s="154"/>
      <c r="M268" s="155"/>
      <c r="N268" s="144"/>
      <c r="O268" s="144"/>
      <c r="P268" s="144"/>
      <c r="Q268" s="145"/>
      <c r="R268" s="145"/>
      <c r="S268" s="148"/>
      <c r="T268" s="147"/>
      <c r="U268" s="144"/>
      <c r="V268" s="144"/>
    </row>
    <row r="269" spans="1:22" ht="33.75" customHeight="1" x14ac:dyDescent="0.15">
      <c r="A269" s="144"/>
      <c r="B269" s="144"/>
      <c r="C269" s="145"/>
      <c r="D269" s="145"/>
      <c r="E269" s="148"/>
      <c r="F269" s="147"/>
      <c r="G269" s="144"/>
      <c r="H269" s="144"/>
      <c r="I269" s="144"/>
      <c r="J269" s="145"/>
      <c r="K269" s="145"/>
      <c r="L269" s="154"/>
      <c r="M269" s="155"/>
      <c r="N269" s="144"/>
      <c r="O269" s="144"/>
      <c r="P269" s="144"/>
      <c r="Q269" s="145"/>
      <c r="R269" s="145"/>
      <c r="S269" s="148"/>
      <c r="T269" s="147"/>
      <c r="U269" s="144"/>
      <c r="V269" s="144"/>
    </row>
    <row r="270" spans="1:22" ht="33.75" customHeight="1" x14ac:dyDescent="0.15">
      <c r="A270" s="144"/>
      <c r="B270" s="144"/>
      <c r="C270" s="145"/>
      <c r="D270" s="145"/>
      <c r="E270" s="148"/>
      <c r="F270" s="147"/>
      <c r="G270" s="144"/>
      <c r="H270" s="144"/>
      <c r="I270" s="144"/>
      <c r="J270" s="145"/>
      <c r="K270" s="145"/>
      <c r="L270" s="154"/>
      <c r="M270" s="155"/>
      <c r="N270" s="144"/>
      <c r="O270" s="144"/>
      <c r="P270" s="144"/>
      <c r="Q270" s="145"/>
      <c r="R270" s="145"/>
      <c r="S270" s="148"/>
      <c r="T270" s="147"/>
      <c r="U270" s="144"/>
      <c r="V270" s="144"/>
    </row>
    <row r="271" spans="1:22" ht="33.75" customHeight="1" x14ac:dyDescent="0.15">
      <c r="A271" s="144"/>
      <c r="B271" s="144"/>
      <c r="C271" s="145"/>
      <c r="D271" s="145"/>
      <c r="E271" s="148"/>
      <c r="F271" s="147"/>
      <c r="G271" s="144"/>
      <c r="H271" s="144"/>
      <c r="I271" s="144"/>
      <c r="J271" s="145"/>
      <c r="K271" s="145"/>
      <c r="L271" s="154"/>
      <c r="M271" s="155"/>
      <c r="N271" s="144"/>
      <c r="O271" s="144"/>
      <c r="P271" s="144"/>
      <c r="Q271" s="145"/>
      <c r="R271" s="145"/>
      <c r="S271" s="148"/>
      <c r="T271" s="147"/>
      <c r="U271" s="144"/>
      <c r="V271" s="144"/>
    </row>
    <row r="272" spans="1:22" ht="33.75" customHeight="1" x14ac:dyDescent="0.15">
      <c r="A272" s="144"/>
      <c r="B272" s="144"/>
      <c r="C272" s="145"/>
      <c r="D272" s="145"/>
      <c r="E272" s="148"/>
      <c r="F272" s="147"/>
      <c r="G272" s="144"/>
      <c r="H272" s="144"/>
      <c r="I272" s="144"/>
      <c r="J272" s="145"/>
      <c r="K272" s="145"/>
      <c r="L272" s="154"/>
      <c r="M272" s="155"/>
      <c r="N272" s="144"/>
      <c r="O272" s="144"/>
      <c r="P272" s="144"/>
      <c r="Q272" s="145"/>
      <c r="R272" s="145"/>
      <c r="S272" s="148"/>
      <c r="T272" s="147"/>
      <c r="U272" s="144"/>
      <c r="V272" s="144"/>
    </row>
    <row r="273" spans="1:22" ht="33.75" customHeight="1" x14ac:dyDescent="0.15">
      <c r="A273" s="144"/>
      <c r="B273" s="144"/>
      <c r="C273" s="145"/>
      <c r="D273" s="145"/>
      <c r="E273" s="148"/>
      <c r="F273" s="147"/>
      <c r="G273" s="144"/>
      <c r="H273" s="144"/>
      <c r="I273" s="144"/>
      <c r="J273" s="145"/>
      <c r="K273" s="145"/>
      <c r="L273" s="154"/>
      <c r="M273" s="155"/>
      <c r="N273" s="144"/>
      <c r="O273" s="144"/>
      <c r="P273" s="144"/>
      <c r="Q273" s="145"/>
      <c r="R273" s="145"/>
      <c r="S273" s="148"/>
      <c r="T273" s="147"/>
      <c r="U273" s="144"/>
      <c r="V273" s="144"/>
    </row>
    <row r="274" spans="1:22" ht="33.75" customHeight="1" x14ac:dyDescent="0.15">
      <c r="A274" s="144"/>
      <c r="B274" s="144"/>
      <c r="C274" s="145"/>
      <c r="D274" s="145"/>
      <c r="E274" s="148"/>
      <c r="F274" s="147"/>
      <c r="G274" s="144"/>
      <c r="H274" s="144"/>
      <c r="I274" s="144"/>
      <c r="J274" s="145"/>
      <c r="K274" s="145"/>
      <c r="L274" s="154"/>
      <c r="M274" s="155"/>
      <c r="N274" s="144"/>
      <c r="O274" s="144"/>
      <c r="P274" s="144"/>
      <c r="Q274" s="145"/>
      <c r="R274" s="145"/>
      <c r="S274" s="148"/>
      <c r="T274" s="147"/>
      <c r="U274" s="144"/>
      <c r="V274" s="144"/>
    </row>
    <row r="275" spans="1:22" ht="33.75" customHeight="1" x14ac:dyDescent="0.15">
      <c r="A275" s="144"/>
      <c r="B275" s="144"/>
      <c r="C275" s="145"/>
      <c r="D275" s="145"/>
      <c r="E275" s="148"/>
      <c r="F275" s="147"/>
      <c r="G275" s="144"/>
      <c r="H275" s="144"/>
      <c r="I275" s="144"/>
      <c r="J275" s="145"/>
      <c r="K275" s="145"/>
      <c r="L275" s="154"/>
      <c r="M275" s="155"/>
      <c r="N275" s="144"/>
      <c r="O275" s="144"/>
      <c r="P275" s="144"/>
      <c r="Q275" s="145"/>
      <c r="R275" s="145"/>
      <c r="S275" s="148"/>
      <c r="T275" s="147"/>
      <c r="U275" s="144"/>
      <c r="V275" s="144"/>
    </row>
    <row r="276" spans="1:22" ht="33.75" customHeight="1" x14ac:dyDescent="0.15">
      <c r="A276" s="144"/>
      <c r="B276" s="144"/>
      <c r="C276" s="145"/>
      <c r="D276" s="145"/>
      <c r="E276" s="148"/>
      <c r="F276" s="147"/>
      <c r="G276" s="144"/>
      <c r="H276" s="144"/>
      <c r="I276" s="144"/>
      <c r="J276" s="145"/>
      <c r="K276" s="145"/>
      <c r="L276" s="154"/>
      <c r="M276" s="155"/>
      <c r="N276" s="144"/>
      <c r="O276" s="144"/>
      <c r="P276" s="144"/>
      <c r="Q276" s="145"/>
      <c r="R276" s="145"/>
      <c r="S276" s="148"/>
      <c r="T276" s="147"/>
      <c r="U276" s="144"/>
      <c r="V276" s="144"/>
    </row>
    <row r="277" spans="1:22" ht="33.75" customHeight="1" x14ac:dyDescent="0.15">
      <c r="A277" s="144"/>
      <c r="B277" s="144"/>
      <c r="C277" s="145"/>
      <c r="D277" s="145"/>
      <c r="E277" s="148"/>
      <c r="F277" s="147"/>
      <c r="G277" s="144"/>
      <c r="H277" s="144"/>
      <c r="I277" s="144"/>
      <c r="J277" s="145"/>
      <c r="K277" s="145"/>
      <c r="L277" s="154"/>
      <c r="M277" s="155"/>
      <c r="N277" s="144"/>
      <c r="O277" s="144"/>
      <c r="P277" s="144"/>
      <c r="Q277" s="145"/>
      <c r="R277" s="145"/>
      <c r="S277" s="148"/>
      <c r="T277" s="147"/>
      <c r="U277" s="144"/>
      <c r="V277" s="144"/>
    </row>
    <row r="278" spans="1:22" ht="33.75" customHeight="1" x14ac:dyDescent="0.15">
      <c r="A278" s="144"/>
      <c r="B278" s="144"/>
      <c r="C278" s="145"/>
      <c r="D278" s="145"/>
      <c r="E278" s="148"/>
      <c r="F278" s="147"/>
      <c r="G278" s="144"/>
      <c r="H278" s="144"/>
      <c r="I278" s="144"/>
      <c r="J278" s="145"/>
      <c r="K278" s="145"/>
      <c r="L278" s="154"/>
      <c r="M278" s="155"/>
      <c r="N278" s="144"/>
      <c r="O278" s="144"/>
      <c r="P278" s="144"/>
      <c r="Q278" s="145"/>
      <c r="R278" s="145"/>
      <c r="S278" s="148"/>
      <c r="T278" s="147"/>
      <c r="U278" s="144"/>
      <c r="V278" s="144"/>
    </row>
    <row r="279" spans="1:22" ht="33.75" customHeight="1" x14ac:dyDescent="0.15">
      <c r="A279" s="144"/>
      <c r="B279" s="144"/>
      <c r="C279" s="145"/>
      <c r="D279" s="145"/>
      <c r="E279" s="148"/>
      <c r="F279" s="147"/>
      <c r="G279" s="144"/>
      <c r="H279" s="144"/>
      <c r="I279" s="144"/>
      <c r="J279" s="145"/>
      <c r="K279" s="145"/>
      <c r="L279" s="154"/>
      <c r="M279" s="155"/>
      <c r="N279" s="144"/>
      <c r="O279" s="144"/>
      <c r="P279" s="144"/>
      <c r="Q279" s="145"/>
      <c r="R279" s="145"/>
      <c r="S279" s="148"/>
      <c r="T279" s="147"/>
      <c r="U279" s="144"/>
      <c r="V279" s="144"/>
    </row>
    <row r="280" spans="1:22" ht="33.75" customHeight="1" x14ac:dyDescent="0.15">
      <c r="A280" s="144"/>
      <c r="B280" s="144"/>
      <c r="C280" s="145"/>
      <c r="D280" s="145"/>
      <c r="E280" s="148"/>
      <c r="F280" s="147"/>
      <c r="G280" s="144"/>
      <c r="H280" s="144"/>
      <c r="I280" s="144"/>
      <c r="J280" s="145"/>
      <c r="K280" s="145"/>
      <c r="L280" s="154"/>
      <c r="M280" s="155"/>
      <c r="N280" s="144"/>
      <c r="O280" s="144"/>
      <c r="P280" s="144"/>
      <c r="Q280" s="145"/>
      <c r="R280" s="145"/>
      <c r="S280" s="148"/>
      <c r="T280" s="147"/>
      <c r="U280" s="144"/>
      <c r="V280" s="144"/>
    </row>
    <row r="281" spans="1:22" ht="33.75" customHeight="1" x14ac:dyDescent="0.15">
      <c r="A281" s="144"/>
      <c r="B281" s="144"/>
      <c r="C281" s="145"/>
      <c r="D281" s="145"/>
      <c r="E281" s="148"/>
      <c r="F281" s="147"/>
      <c r="G281" s="144"/>
      <c r="H281" s="144"/>
      <c r="I281" s="144"/>
      <c r="J281" s="145"/>
      <c r="K281" s="145"/>
      <c r="L281" s="154"/>
      <c r="M281" s="155"/>
      <c r="N281" s="144"/>
      <c r="O281" s="144"/>
      <c r="P281" s="144"/>
      <c r="Q281" s="145"/>
      <c r="R281" s="145"/>
      <c r="S281" s="148"/>
      <c r="T281" s="147"/>
      <c r="U281" s="144"/>
      <c r="V281" s="144"/>
    </row>
    <row r="282" spans="1:22" ht="33.75" customHeight="1" x14ac:dyDescent="0.15">
      <c r="A282" s="144"/>
      <c r="B282" s="144"/>
      <c r="C282" s="145"/>
      <c r="D282" s="145"/>
      <c r="E282" s="148"/>
      <c r="F282" s="147"/>
      <c r="G282" s="144"/>
      <c r="H282" s="144"/>
      <c r="I282" s="144"/>
      <c r="J282" s="145"/>
      <c r="K282" s="145"/>
      <c r="L282" s="154"/>
      <c r="M282" s="155"/>
      <c r="N282" s="144"/>
      <c r="O282" s="144"/>
      <c r="P282" s="144"/>
      <c r="Q282" s="145"/>
      <c r="R282" s="145"/>
      <c r="S282" s="148"/>
      <c r="T282" s="147"/>
      <c r="U282" s="144"/>
      <c r="V282" s="144"/>
    </row>
    <row r="283" spans="1:22" ht="33.75" customHeight="1" x14ac:dyDescent="0.15">
      <c r="A283" s="144"/>
      <c r="B283" s="144"/>
      <c r="C283" s="145"/>
      <c r="D283" s="145"/>
      <c r="E283" s="148"/>
      <c r="F283" s="147"/>
      <c r="G283" s="144"/>
      <c r="H283" s="144"/>
      <c r="I283" s="144"/>
      <c r="J283" s="145"/>
      <c r="K283" s="145"/>
      <c r="L283" s="154"/>
      <c r="M283" s="155"/>
      <c r="N283" s="144"/>
      <c r="O283" s="144"/>
      <c r="P283" s="144"/>
      <c r="Q283" s="145"/>
      <c r="R283" s="145"/>
      <c r="S283" s="148"/>
      <c r="T283" s="147"/>
      <c r="U283" s="144"/>
      <c r="V283" s="144"/>
    </row>
    <row r="284" spans="1:22" ht="33.75" customHeight="1" x14ac:dyDescent="0.15">
      <c r="A284" s="144"/>
      <c r="B284" s="144"/>
      <c r="C284" s="145"/>
      <c r="D284" s="145"/>
      <c r="E284" s="148"/>
      <c r="F284" s="147"/>
      <c r="G284" s="144"/>
      <c r="H284" s="144"/>
      <c r="I284" s="144"/>
      <c r="J284" s="145"/>
      <c r="K284" s="145"/>
      <c r="L284" s="154"/>
      <c r="M284" s="155"/>
      <c r="N284" s="144"/>
      <c r="O284" s="144"/>
      <c r="P284" s="144"/>
      <c r="Q284" s="145"/>
      <c r="R284" s="145"/>
      <c r="S284" s="148"/>
      <c r="T284" s="147"/>
      <c r="U284" s="144"/>
      <c r="V284" s="144"/>
    </row>
    <row r="285" spans="1:22" ht="33.75" customHeight="1" x14ac:dyDescent="0.15">
      <c r="A285" s="144"/>
      <c r="B285" s="144"/>
      <c r="C285" s="145"/>
      <c r="D285" s="145"/>
      <c r="E285" s="148"/>
      <c r="F285" s="147"/>
      <c r="G285" s="144"/>
      <c r="H285" s="144"/>
      <c r="I285" s="144"/>
      <c r="J285" s="145"/>
      <c r="K285" s="145"/>
      <c r="L285" s="154"/>
      <c r="M285" s="155"/>
      <c r="N285" s="144"/>
      <c r="O285" s="144"/>
      <c r="P285" s="144"/>
      <c r="Q285" s="145"/>
      <c r="R285" s="145"/>
      <c r="S285" s="148"/>
      <c r="T285" s="147"/>
      <c r="U285" s="144"/>
      <c r="V285" s="144"/>
    </row>
    <row r="286" spans="1:22" ht="33.75" customHeight="1" x14ac:dyDescent="0.15">
      <c r="A286" s="144"/>
      <c r="B286" s="144"/>
      <c r="C286" s="145"/>
      <c r="D286" s="145"/>
      <c r="E286" s="148"/>
      <c r="F286" s="147"/>
      <c r="G286" s="144"/>
      <c r="H286" s="144"/>
      <c r="I286" s="144"/>
      <c r="J286" s="145"/>
      <c r="K286" s="145"/>
      <c r="L286" s="154"/>
      <c r="M286" s="155"/>
      <c r="N286" s="144"/>
      <c r="O286" s="144"/>
      <c r="P286" s="144"/>
      <c r="Q286" s="145"/>
      <c r="R286" s="145"/>
      <c r="S286" s="148"/>
      <c r="T286" s="147"/>
      <c r="U286" s="144"/>
      <c r="V286" s="144"/>
    </row>
    <row r="287" spans="1:22" ht="33.75" customHeight="1" x14ac:dyDescent="0.15">
      <c r="A287" s="144"/>
      <c r="B287" s="144"/>
      <c r="C287" s="145"/>
      <c r="D287" s="145"/>
      <c r="E287" s="148"/>
      <c r="F287" s="147"/>
      <c r="G287" s="144"/>
      <c r="H287" s="144"/>
      <c r="I287" s="144"/>
      <c r="J287" s="145"/>
      <c r="K287" s="145"/>
      <c r="L287" s="154"/>
      <c r="M287" s="155"/>
      <c r="N287" s="144"/>
      <c r="O287" s="144"/>
      <c r="P287" s="144"/>
      <c r="Q287" s="145"/>
      <c r="R287" s="145"/>
      <c r="S287" s="148"/>
      <c r="T287" s="147"/>
      <c r="U287" s="144"/>
      <c r="V287" s="144"/>
    </row>
    <row r="288" spans="1:22" ht="33.75" customHeight="1" x14ac:dyDescent="0.15">
      <c r="A288" s="144"/>
      <c r="B288" s="144"/>
      <c r="C288" s="145"/>
      <c r="D288" s="145"/>
      <c r="E288" s="148"/>
      <c r="F288" s="147"/>
      <c r="G288" s="144"/>
      <c r="H288" s="144"/>
      <c r="I288" s="144"/>
      <c r="J288" s="145"/>
      <c r="K288" s="145"/>
      <c r="L288" s="154"/>
      <c r="M288" s="155"/>
      <c r="N288" s="144"/>
      <c r="O288" s="144"/>
      <c r="P288" s="144"/>
      <c r="Q288" s="145"/>
      <c r="R288" s="145"/>
      <c r="S288" s="148"/>
      <c r="T288" s="147"/>
      <c r="U288" s="144"/>
      <c r="V288" s="144"/>
    </row>
    <row r="289" spans="1:22" ht="33.75" customHeight="1" x14ac:dyDescent="0.15">
      <c r="A289" s="144"/>
      <c r="B289" s="144"/>
      <c r="C289" s="145"/>
      <c r="D289" s="145"/>
      <c r="E289" s="148"/>
      <c r="F289" s="147"/>
      <c r="G289" s="144"/>
      <c r="H289" s="144"/>
      <c r="I289" s="144"/>
      <c r="J289" s="145"/>
      <c r="K289" s="145"/>
      <c r="L289" s="154"/>
      <c r="M289" s="155"/>
      <c r="N289" s="144"/>
      <c r="O289" s="144"/>
      <c r="P289" s="144"/>
      <c r="Q289" s="145"/>
      <c r="R289" s="145"/>
      <c r="S289" s="148"/>
      <c r="T289" s="147"/>
      <c r="U289" s="144"/>
      <c r="V289" s="144"/>
    </row>
    <row r="290" spans="1:22" ht="33.75" customHeight="1" x14ac:dyDescent="0.15">
      <c r="A290" s="144"/>
      <c r="B290" s="144"/>
      <c r="C290" s="145"/>
      <c r="D290" s="145"/>
      <c r="E290" s="148"/>
      <c r="F290" s="147"/>
      <c r="G290" s="144"/>
      <c r="H290" s="144"/>
      <c r="I290" s="144"/>
      <c r="J290" s="145"/>
      <c r="K290" s="145"/>
      <c r="L290" s="154"/>
      <c r="M290" s="155"/>
      <c r="N290" s="144"/>
      <c r="O290" s="144"/>
      <c r="P290" s="144"/>
      <c r="Q290" s="145"/>
      <c r="R290" s="145"/>
      <c r="S290" s="148"/>
      <c r="T290" s="147"/>
      <c r="U290" s="144"/>
      <c r="V290" s="144"/>
    </row>
    <row r="291" spans="1:22" ht="33.75" customHeight="1" x14ac:dyDescent="0.15">
      <c r="A291" s="144"/>
      <c r="B291" s="144"/>
      <c r="C291" s="145"/>
      <c r="D291" s="145"/>
      <c r="E291" s="148"/>
      <c r="F291" s="147"/>
      <c r="G291" s="144"/>
      <c r="H291" s="144"/>
      <c r="I291" s="144"/>
      <c r="J291" s="145"/>
      <c r="K291" s="145"/>
      <c r="L291" s="154"/>
      <c r="M291" s="155"/>
      <c r="N291" s="144"/>
      <c r="O291" s="144"/>
      <c r="P291" s="144"/>
      <c r="Q291" s="145"/>
      <c r="R291" s="145"/>
      <c r="S291" s="148"/>
      <c r="T291" s="147"/>
      <c r="U291" s="144"/>
      <c r="V291" s="144"/>
    </row>
    <row r="292" spans="1:22" ht="33.75" customHeight="1" x14ac:dyDescent="0.15">
      <c r="A292" s="144"/>
      <c r="B292" s="144"/>
      <c r="C292" s="145"/>
      <c r="D292" s="145"/>
      <c r="E292" s="148"/>
      <c r="F292" s="147"/>
      <c r="G292" s="144"/>
      <c r="H292" s="144"/>
      <c r="I292" s="144"/>
      <c r="J292" s="145"/>
      <c r="K292" s="145"/>
      <c r="L292" s="154"/>
      <c r="M292" s="155"/>
      <c r="N292" s="144"/>
      <c r="O292" s="144"/>
      <c r="P292" s="144"/>
      <c r="Q292" s="145"/>
      <c r="R292" s="145"/>
      <c r="S292" s="148"/>
      <c r="T292" s="147"/>
      <c r="U292" s="144"/>
      <c r="V292" s="144"/>
    </row>
    <row r="293" spans="1:22" ht="33.75" customHeight="1" x14ac:dyDescent="0.15">
      <c r="A293" s="144"/>
      <c r="B293" s="144"/>
      <c r="C293" s="145"/>
      <c r="D293" s="145"/>
      <c r="E293" s="148"/>
      <c r="F293" s="147"/>
      <c r="G293" s="144"/>
      <c r="H293" s="144"/>
      <c r="I293" s="144"/>
      <c r="J293" s="145"/>
      <c r="K293" s="145"/>
      <c r="L293" s="154"/>
      <c r="M293" s="155"/>
      <c r="N293" s="144"/>
      <c r="O293" s="144"/>
      <c r="P293" s="144"/>
      <c r="Q293" s="145"/>
      <c r="R293" s="145"/>
      <c r="S293" s="148"/>
      <c r="T293" s="147"/>
      <c r="U293" s="144"/>
      <c r="V293" s="144"/>
    </row>
    <row r="294" spans="1:22" ht="33.75" customHeight="1" x14ac:dyDescent="0.15">
      <c r="A294" s="144"/>
      <c r="B294" s="144"/>
      <c r="C294" s="145"/>
      <c r="D294" s="145"/>
      <c r="E294" s="148"/>
      <c r="F294" s="147"/>
      <c r="G294" s="144"/>
      <c r="H294" s="144"/>
      <c r="I294" s="144"/>
      <c r="J294" s="145"/>
      <c r="K294" s="145"/>
      <c r="L294" s="154"/>
      <c r="M294" s="155"/>
      <c r="N294" s="144"/>
      <c r="O294" s="144"/>
      <c r="P294" s="144"/>
      <c r="Q294" s="145"/>
      <c r="R294" s="145"/>
      <c r="S294" s="148"/>
      <c r="T294" s="147"/>
      <c r="U294" s="144"/>
      <c r="V294" s="144"/>
    </row>
    <row r="295" spans="1:22" ht="33.75" customHeight="1" x14ac:dyDescent="0.15">
      <c r="A295" s="144"/>
      <c r="B295" s="144"/>
      <c r="C295" s="145"/>
      <c r="D295" s="145"/>
      <c r="E295" s="148"/>
      <c r="F295" s="147"/>
      <c r="G295" s="144"/>
      <c r="H295" s="144"/>
      <c r="I295" s="144"/>
      <c r="J295" s="145"/>
      <c r="K295" s="145"/>
      <c r="L295" s="154"/>
      <c r="M295" s="155"/>
      <c r="N295" s="144"/>
      <c r="O295" s="144"/>
      <c r="P295" s="144"/>
      <c r="Q295" s="145"/>
      <c r="R295" s="145"/>
      <c r="S295" s="148"/>
      <c r="T295" s="147"/>
      <c r="U295" s="144"/>
      <c r="V295" s="144"/>
    </row>
    <row r="296" spans="1:22" ht="33.75" customHeight="1" x14ac:dyDescent="0.15">
      <c r="A296" s="144"/>
      <c r="B296" s="144"/>
      <c r="C296" s="145"/>
      <c r="D296" s="145"/>
      <c r="E296" s="148"/>
      <c r="F296" s="147"/>
      <c r="G296" s="144"/>
      <c r="H296" s="144"/>
      <c r="I296" s="144"/>
      <c r="J296" s="145"/>
      <c r="K296" s="145"/>
      <c r="L296" s="154"/>
      <c r="M296" s="155"/>
      <c r="N296" s="144"/>
      <c r="O296" s="144"/>
      <c r="P296" s="144"/>
      <c r="Q296" s="145"/>
      <c r="R296" s="145"/>
      <c r="S296" s="148"/>
      <c r="T296" s="147"/>
      <c r="U296" s="144"/>
      <c r="V296" s="144"/>
    </row>
    <row r="297" spans="1:22" ht="33.75" customHeight="1" x14ac:dyDescent="0.15">
      <c r="A297" s="144"/>
      <c r="B297" s="144"/>
      <c r="C297" s="145"/>
      <c r="D297" s="145"/>
      <c r="E297" s="148"/>
      <c r="F297" s="147"/>
      <c r="G297" s="144"/>
      <c r="H297" s="144"/>
      <c r="I297" s="144"/>
      <c r="J297" s="145"/>
      <c r="K297" s="145"/>
      <c r="L297" s="154"/>
      <c r="M297" s="155"/>
      <c r="N297" s="144"/>
      <c r="O297" s="144"/>
      <c r="P297" s="144"/>
      <c r="Q297" s="145"/>
      <c r="R297" s="145"/>
      <c r="S297" s="148"/>
      <c r="T297" s="147"/>
      <c r="U297" s="144"/>
      <c r="V297" s="144"/>
    </row>
    <row r="298" spans="1:22" ht="33.75" customHeight="1" x14ac:dyDescent="0.15">
      <c r="A298" s="144"/>
      <c r="B298" s="144"/>
      <c r="C298" s="145"/>
      <c r="D298" s="145"/>
      <c r="E298" s="148"/>
      <c r="F298" s="147"/>
      <c r="G298" s="144"/>
      <c r="H298" s="144"/>
      <c r="I298" s="144"/>
      <c r="J298" s="145"/>
      <c r="K298" s="145"/>
      <c r="L298" s="154"/>
      <c r="M298" s="155"/>
      <c r="N298" s="144"/>
      <c r="O298" s="144"/>
      <c r="P298" s="144"/>
      <c r="Q298" s="145"/>
      <c r="R298" s="145"/>
      <c r="S298" s="148"/>
      <c r="T298" s="147"/>
      <c r="U298" s="144"/>
      <c r="V298" s="144"/>
    </row>
    <row r="299" spans="1:22" ht="33.75" customHeight="1" x14ac:dyDescent="0.15">
      <c r="A299" s="144"/>
      <c r="B299" s="144"/>
      <c r="C299" s="145"/>
      <c r="D299" s="145"/>
      <c r="E299" s="148"/>
      <c r="F299" s="147"/>
      <c r="G299" s="144"/>
      <c r="H299" s="144"/>
      <c r="I299" s="144"/>
      <c r="J299" s="145"/>
      <c r="K299" s="145"/>
      <c r="L299" s="154"/>
      <c r="M299" s="155"/>
      <c r="N299" s="144"/>
      <c r="O299" s="144"/>
      <c r="P299" s="144"/>
      <c r="Q299" s="145"/>
      <c r="R299" s="145"/>
      <c r="S299" s="148"/>
      <c r="T299" s="147"/>
      <c r="U299" s="144"/>
      <c r="V299" s="144"/>
    </row>
    <row r="300" spans="1:22" ht="33.75" customHeight="1" x14ac:dyDescent="0.15">
      <c r="A300" s="144"/>
      <c r="B300" s="144"/>
      <c r="C300" s="145"/>
      <c r="D300" s="145"/>
      <c r="E300" s="148"/>
      <c r="F300" s="147"/>
      <c r="G300" s="144"/>
      <c r="H300" s="144"/>
      <c r="I300" s="144"/>
      <c r="J300" s="145"/>
      <c r="K300" s="145"/>
      <c r="L300" s="154"/>
      <c r="M300" s="155"/>
      <c r="N300" s="144"/>
      <c r="O300" s="144"/>
      <c r="P300" s="144"/>
      <c r="Q300" s="145"/>
      <c r="R300" s="145"/>
      <c r="S300" s="148"/>
      <c r="T300" s="147"/>
      <c r="U300" s="144"/>
      <c r="V300" s="144"/>
    </row>
    <row r="301" spans="1:22" ht="33.75" customHeight="1" x14ac:dyDescent="0.15">
      <c r="A301" s="144"/>
      <c r="B301" s="144"/>
      <c r="C301" s="145"/>
      <c r="D301" s="145"/>
      <c r="E301" s="148"/>
      <c r="F301" s="147"/>
      <c r="G301" s="144"/>
      <c r="H301" s="144"/>
      <c r="I301" s="144"/>
      <c r="J301" s="145"/>
      <c r="K301" s="145"/>
      <c r="L301" s="154"/>
      <c r="M301" s="155"/>
      <c r="N301" s="144"/>
      <c r="O301" s="144"/>
      <c r="P301" s="144"/>
      <c r="Q301" s="145"/>
      <c r="R301" s="145"/>
      <c r="S301" s="148"/>
      <c r="T301" s="147"/>
      <c r="U301" s="144"/>
      <c r="V301" s="144"/>
    </row>
    <row r="302" spans="1:22" ht="33.75" customHeight="1" x14ac:dyDescent="0.15">
      <c r="A302" s="144"/>
      <c r="B302" s="144"/>
      <c r="C302" s="145"/>
      <c r="D302" s="145"/>
      <c r="E302" s="148"/>
      <c r="F302" s="147"/>
      <c r="G302" s="144"/>
      <c r="H302" s="144"/>
      <c r="I302" s="144"/>
      <c r="J302" s="145"/>
      <c r="K302" s="145"/>
      <c r="L302" s="154"/>
      <c r="M302" s="155"/>
      <c r="N302" s="144"/>
      <c r="O302" s="144"/>
      <c r="P302" s="144"/>
      <c r="Q302" s="145"/>
      <c r="R302" s="145"/>
      <c r="S302" s="148"/>
      <c r="T302" s="147"/>
      <c r="U302" s="144"/>
      <c r="V302" s="144"/>
    </row>
    <row r="303" spans="1:22" ht="33.75" customHeight="1" x14ac:dyDescent="0.15">
      <c r="A303" s="144"/>
      <c r="B303" s="144"/>
      <c r="C303" s="145"/>
      <c r="D303" s="145"/>
      <c r="E303" s="148"/>
      <c r="F303" s="147"/>
      <c r="G303" s="144"/>
      <c r="H303" s="144"/>
      <c r="I303" s="144"/>
      <c r="J303" s="145"/>
      <c r="K303" s="145"/>
      <c r="L303" s="154"/>
      <c r="M303" s="155"/>
      <c r="N303" s="144"/>
      <c r="O303" s="144"/>
      <c r="P303" s="144"/>
      <c r="Q303" s="145"/>
      <c r="R303" s="145"/>
      <c r="S303" s="148"/>
      <c r="T303" s="147"/>
      <c r="U303" s="144"/>
      <c r="V303" s="144"/>
    </row>
    <row r="304" spans="1:22" ht="33.75" customHeight="1" x14ac:dyDescent="0.15">
      <c r="A304" s="144"/>
      <c r="B304" s="144"/>
      <c r="C304" s="145"/>
      <c r="D304" s="145"/>
      <c r="E304" s="148"/>
      <c r="F304" s="147"/>
      <c r="G304" s="144"/>
      <c r="H304" s="144"/>
      <c r="I304" s="144"/>
      <c r="J304" s="145"/>
      <c r="K304" s="145"/>
      <c r="L304" s="154"/>
      <c r="M304" s="155"/>
      <c r="N304" s="144"/>
      <c r="O304" s="144"/>
      <c r="P304" s="144"/>
      <c r="Q304" s="145"/>
      <c r="R304" s="145"/>
      <c r="S304" s="148"/>
      <c r="T304" s="147"/>
      <c r="U304" s="144"/>
      <c r="V304" s="144"/>
    </row>
    <row r="305" spans="1:22" ht="33.75" customHeight="1" x14ac:dyDescent="0.15">
      <c r="A305" s="144"/>
      <c r="B305" s="144"/>
      <c r="C305" s="145"/>
      <c r="D305" s="145"/>
      <c r="E305" s="148"/>
      <c r="F305" s="147"/>
      <c r="G305" s="144"/>
      <c r="H305" s="144"/>
      <c r="I305" s="144"/>
      <c r="J305" s="145"/>
      <c r="K305" s="145"/>
      <c r="L305" s="154"/>
      <c r="M305" s="155"/>
      <c r="N305" s="144"/>
      <c r="O305" s="144"/>
      <c r="P305" s="144"/>
      <c r="Q305" s="145"/>
      <c r="R305" s="145"/>
      <c r="S305" s="148"/>
      <c r="T305" s="147"/>
      <c r="U305" s="144"/>
      <c r="V305" s="144"/>
    </row>
    <row r="306" spans="1:22" ht="33.75" customHeight="1" x14ac:dyDescent="0.15">
      <c r="A306" s="144"/>
      <c r="B306" s="144"/>
      <c r="C306" s="145"/>
      <c r="D306" s="145"/>
      <c r="E306" s="148"/>
      <c r="F306" s="147"/>
      <c r="G306" s="144"/>
      <c r="H306" s="144"/>
      <c r="I306" s="144"/>
      <c r="J306" s="145"/>
      <c r="K306" s="145"/>
      <c r="L306" s="154"/>
      <c r="M306" s="155"/>
      <c r="N306" s="144"/>
      <c r="O306" s="144"/>
      <c r="P306" s="144"/>
      <c r="Q306" s="145"/>
      <c r="R306" s="145"/>
      <c r="S306" s="148"/>
      <c r="T306" s="147"/>
      <c r="U306" s="144"/>
      <c r="V306" s="144"/>
    </row>
    <row r="307" spans="1:22" ht="33.75" customHeight="1" x14ac:dyDescent="0.15">
      <c r="A307" s="144"/>
      <c r="B307" s="144"/>
      <c r="C307" s="145"/>
      <c r="D307" s="145"/>
      <c r="E307" s="148"/>
      <c r="F307" s="147"/>
      <c r="G307" s="144"/>
      <c r="H307" s="144"/>
      <c r="I307" s="144"/>
      <c r="J307" s="145"/>
      <c r="K307" s="145"/>
      <c r="L307" s="154"/>
      <c r="M307" s="155"/>
      <c r="N307" s="144"/>
      <c r="O307" s="144"/>
      <c r="P307" s="144"/>
      <c r="Q307" s="145"/>
      <c r="R307" s="145"/>
      <c r="S307" s="148"/>
      <c r="T307" s="147"/>
      <c r="U307" s="144"/>
      <c r="V307" s="144"/>
    </row>
    <row r="308" spans="1:22" ht="33.75" customHeight="1" x14ac:dyDescent="0.15">
      <c r="A308" s="144"/>
      <c r="B308" s="144"/>
      <c r="C308" s="145"/>
      <c r="D308" s="145"/>
      <c r="E308" s="148"/>
      <c r="F308" s="147"/>
      <c r="G308" s="144"/>
      <c r="H308" s="144"/>
      <c r="I308" s="144"/>
      <c r="J308" s="145"/>
      <c r="K308" s="145"/>
      <c r="L308" s="154"/>
      <c r="M308" s="155"/>
      <c r="N308" s="144"/>
      <c r="O308" s="144"/>
      <c r="P308" s="144"/>
      <c r="Q308" s="145"/>
      <c r="R308" s="145"/>
      <c r="S308" s="148"/>
      <c r="T308" s="147"/>
      <c r="U308" s="144"/>
      <c r="V308" s="144"/>
    </row>
    <row r="309" spans="1:22" ht="33.75" customHeight="1" x14ac:dyDescent="0.15">
      <c r="A309" s="144"/>
      <c r="B309" s="144"/>
      <c r="C309" s="145"/>
      <c r="D309" s="145"/>
      <c r="E309" s="148"/>
      <c r="F309" s="147"/>
      <c r="G309" s="144"/>
      <c r="H309" s="144"/>
      <c r="I309" s="144"/>
      <c r="J309" s="145"/>
      <c r="K309" s="145"/>
      <c r="L309" s="154"/>
      <c r="M309" s="155"/>
      <c r="N309" s="144"/>
      <c r="O309" s="144"/>
      <c r="P309" s="144"/>
      <c r="Q309" s="145"/>
      <c r="R309" s="145"/>
      <c r="S309" s="148"/>
      <c r="T309" s="147"/>
      <c r="U309" s="144"/>
      <c r="V309" s="144"/>
    </row>
    <row r="310" spans="1:22" ht="33.75" customHeight="1" x14ac:dyDescent="0.15">
      <c r="A310" s="144"/>
      <c r="B310" s="144"/>
      <c r="C310" s="145"/>
      <c r="D310" s="145"/>
      <c r="E310" s="148"/>
      <c r="F310" s="147"/>
      <c r="G310" s="144"/>
      <c r="H310" s="144"/>
      <c r="I310" s="144"/>
      <c r="J310" s="145"/>
      <c r="K310" s="145"/>
      <c r="L310" s="154"/>
      <c r="M310" s="155"/>
      <c r="N310" s="144"/>
      <c r="O310" s="144"/>
      <c r="P310" s="144"/>
      <c r="Q310" s="145"/>
      <c r="R310" s="145"/>
      <c r="S310" s="148"/>
      <c r="T310" s="147"/>
      <c r="U310" s="144"/>
      <c r="V310" s="144"/>
    </row>
    <row r="311" spans="1:22" ht="33.75" customHeight="1" x14ac:dyDescent="0.15">
      <c r="A311" s="144"/>
      <c r="B311" s="144"/>
      <c r="C311" s="145"/>
      <c r="D311" s="145"/>
      <c r="E311" s="148"/>
      <c r="F311" s="147"/>
      <c r="G311" s="144"/>
      <c r="H311" s="144"/>
      <c r="I311" s="144"/>
      <c r="J311" s="145"/>
      <c r="K311" s="145"/>
      <c r="L311" s="154"/>
      <c r="M311" s="155"/>
      <c r="N311" s="144"/>
      <c r="O311" s="144"/>
      <c r="P311" s="144"/>
      <c r="Q311" s="145"/>
      <c r="R311" s="145"/>
      <c r="S311" s="148"/>
      <c r="T311" s="147"/>
      <c r="U311" s="144"/>
      <c r="V311" s="144"/>
    </row>
    <row r="312" spans="1:22" ht="33.75" customHeight="1" x14ac:dyDescent="0.15">
      <c r="A312" s="144"/>
      <c r="B312" s="144"/>
      <c r="C312" s="145"/>
      <c r="D312" s="145"/>
      <c r="E312" s="148"/>
      <c r="F312" s="147"/>
      <c r="G312" s="144"/>
      <c r="H312" s="144"/>
      <c r="I312" s="144"/>
      <c r="J312" s="145"/>
      <c r="K312" s="145"/>
      <c r="L312" s="154"/>
      <c r="M312" s="155"/>
      <c r="N312" s="144"/>
      <c r="O312" s="144"/>
      <c r="P312" s="144"/>
      <c r="Q312" s="145"/>
      <c r="R312" s="145"/>
      <c r="S312" s="148"/>
      <c r="T312" s="147"/>
      <c r="U312" s="144"/>
      <c r="V312" s="144"/>
    </row>
    <row r="313" spans="1:22" ht="33.75" customHeight="1" x14ac:dyDescent="0.15">
      <c r="A313" s="144"/>
      <c r="B313" s="144"/>
      <c r="C313" s="145"/>
      <c r="D313" s="145"/>
      <c r="E313" s="148"/>
      <c r="F313" s="147"/>
      <c r="G313" s="144"/>
      <c r="H313" s="144"/>
      <c r="I313" s="144"/>
      <c r="J313" s="145"/>
      <c r="K313" s="145"/>
      <c r="L313" s="154"/>
      <c r="M313" s="155"/>
      <c r="N313" s="144"/>
      <c r="O313" s="144"/>
      <c r="P313" s="144"/>
      <c r="Q313" s="145"/>
      <c r="R313" s="145"/>
      <c r="S313" s="148"/>
      <c r="T313" s="147"/>
      <c r="U313" s="144"/>
      <c r="V313" s="144"/>
    </row>
    <row r="314" spans="1:22" ht="33.75" customHeight="1" x14ac:dyDescent="0.15">
      <c r="A314" s="144"/>
      <c r="B314" s="144"/>
      <c r="C314" s="145"/>
      <c r="D314" s="145"/>
      <c r="E314" s="148"/>
      <c r="F314" s="147"/>
      <c r="G314" s="144"/>
      <c r="H314" s="144"/>
      <c r="I314" s="144"/>
      <c r="J314" s="145"/>
      <c r="K314" s="145"/>
      <c r="L314" s="154"/>
      <c r="M314" s="155"/>
      <c r="N314" s="144"/>
      <c r="O314" s="144"/>
      <c r="P314" s="144"/>
      <c r="Q314" s="145"/>
      <c r="R314" s="145"/>
      <c r="S314" s="148"/>
      <c r="T314" s="147"/>
      <c r="U314" s="144"/>
      <c r="V314" s="144"/>
    </row>
    <row r="315" spans="1:22" ht="33.75" customHeight="1" x14ac:dyDescent="0.15">
      <c r="A315" s="144"/>
      <c r="B315" s="144"/>
      <c r="C315" s="145"/>
      <c r="D315" s="145"/>
      <c r="E315" s="148"/>
      <c r="F315" s="147"/>
      <c r="G315" s="144"/>
      <c r="H315" s="144"/>
      <c r="I315" s="144"/>
      <c r="J315" s="145"/>
      <c r="K315" s="145"/>
      <c r="L315" s="154"/>
      <c r="M315" s="155"/>
      <c r="N315" s="144"/>
      <c r="O315" s="144"/>
      <c r="P315" s="144"/>
      <c r="Q315" s="145"/>
      <c r="R315" s="145"/>
      <c r="S315" s="148"/>
      <c r="T315" s="147"/>
      <c r="U315" s="144"/>
      <c r="V315" s="144"/>
    </row>
    <row r="316" spans="1:22" ht="33.75" customHeight="1" x14ac:dyDescent="0.15">
      <c r="A316" s="144"/>
      <c r="B316" s="144"/>
      <c r="C316" s="145"/>
      <c r="D316" s="145"/>
      <c r="E316" s="148"/>
      <c r="F316" s="147"/>
      <c r="G316" s="144"/>
      <c r="H316" s="144"/>
      <c r="I316" s="144"/>
      <c r="J316" s="145"/>
      <c r="K316" s="145"/>
      <c r="L316" s="154"/>
      <c r="M316" s="155"/>
      <c r="N316" s="144"/>
      <c r="O316" s="144"/>
      <c r="P316" s="144"/>
      <c r="Q316" s="145"/>
      <c r="R316" s="145"/>
      <c r="S316" s="148"/>
      <c r="T316" s="147"/>
      <c r="U316" s="144"/>
      <c r="V316" s="144"/>
    </row>
    <row r="317" spans="1:22" ht="33.75" customHeight="1" x14ac:dyDescent="0.15">
      <c r="A317" s="144"/>
      <c r="B317" s="144"/>
      <c r="C317" s="145"/>
      <c r="D317" s="145"/>
      <c r="E317" s="148"/>
      <c r="F317" s="147"/>
      <c r="G317" s="144"/>
      <c r="H317" s="144"/>
      <c r="I317" s="144"/>
      <c r="J317" s="145"/>
      <c r="K317" s="145"/>
      <c r="L317" s="154"/>
      <c r="M317" s="155"/>
      <c r="N317" s="144"/>
      <c r="O317" s="144"/>
      <c r="P317" s="144"/>
      <c r="Q317" s="145"/>
      <c r="R317" s="145"/>
      <c r="S317" s="148"/>
      <c r="T317" s="147"/>
      <c r="U317" s="144"/>
      <c r="V317" s="144"/>
    </row>
    <row r="318" spans="1:22" ht="33.75" customHeight="1" x14ac:dyDescent="0.15">
      <c r="A318" s="144"/>
      <c r="B318" s="144"/>
      <c r="C318" s="145"/>
      <c r="D318" s="145"/>
      <c r="E318" s="148"/>
      <c r="F318" s="147"/>
      <c r="G318" s="144"/>
      <c r="H318" s="144"/>
      <c r="I318" s="144"/>
      <c r="J318" s="145"/>
      <c r="K318" s="145"/>
      <c r="L318" s="154"/>
      <c r="M318" s="155"/>
      <c r="N318" s="144"/>
      <c r="O318" s="144"/>
      <c r="P318" s="144"/>
      <c r="Q318" s="145"/>
      <c r="R318" s="145"/>
      <c r="S318" s="148"/>
      <c r="T318" s="147"/>
      <c r="U318" s="144"/>
      <c r="V318" s="144"/>
    </row>
    <row r="319" spans="1:22" ht="33.75" customHeight="1" x14ac:dyDescent="0.15">
      <c r="A319" s="144"/>
      <c r="B319" s="144"/>
      <c r="C319" s="145"/>
      <c r="D319" s="145"/>
      <c r="E319" s="148"/>
      <c r="F319" s="147"/>
      <c r="G319" s="144"/>
      <c r="H319" s="144"/>
      <c r="I319" s="144"/>
      <c r="J319" s="145"/>
      <c r="K319" s="145"/>
      <c r="L319" s="154"/>
      <c r="M319" s="155"/>
      <c r="N319" s="144"/>
      <c r="O319" s="144"/>
      <c r="P319" s="144"/>
      <c r="Q319" s="145"/>
      <c r="R319" s="145"/>
      <c r="S319" s="148"/>
      <c r="T319" s="147"/>
      <c r="U319" s="144"/>
      <c r="V319" s="144"/>
    </row>
    <row r="320" spans="1:22" ht="33.75" customHeight="1" x14ac:dyDescent="0.15">
      <c r="A320" s="144"/>
      <c r="B320" s="144"/>
      <c r="C320" s="145"/>
      <c r="D320" s="145"/>
      <c r="E320" s="148"/>
      <c r="F320" s="147"/>
      <c r="G320" s="144"/>
      <c r="H320" s="144"/>
      <c r="I320" s="144"/>
      <c r="J320" s="145"/>
      <c r="K320" s="145"/>
      <c r="L320" s="154"/>
      <c r="M320" s="155"/>
      <c r="N320" s="144"/>
      <c r="O320" s="144"/>
      <c r="P320" s="144"/>
      <c r="Q320" s="145"/>
      <c r="R320" s="145"/>
      <c r="S320" s="148"/>
      <c r="T320" s="147"/>
      <c r="U320" s="144"/>
      <c r="V320" s="144"/>
    </row>
    <row r="321" spans="1:22" ht="33.75" customHeight="1" x14ac:dyDescent="0.15">
      <c r="A321" s="144"/>
      <c r="B321" s="144"/>
      <c r="C321" s="145"/>
      <c r="D321" s="145"/>
      <c r="E321" s="148"/>
      <c r="F321" s="147"/>
      <c r="G321" s="144"/>
      <c r="H321" s="144"/>
      <c r="I321" s="144"/>
      <c r="J321" s="145"/>
      <c r="K321" s="145"/>
      <c r="L321" s="154"/>
      <c r="M321" s="155"/>
      <c r="N321" s="144"/>
      <c r="O321" s="144"/>
      <c r="P321" s="144"/>
      <c r="Q321" s="145"/>
      <c r="R321" s="145"/>
      <c r="S321" s="148"/>
      <c r="T321" s="147"/>
      <c r="U321" s="144"/>
      <c r="V321" s="144"/>
    </row>
    <row r="322" spans="1:22" ht="33.75" customHeight="1" x14ac:dyDescent="0.15">
      <c r="A322" s="144"/>
      <c r="B322" s="144"/>
      <c r="C322" s="145"/>
      <c r="D322" s="145"/>
      <c r="E322" s="148"/>
      <c r="F322" s="147"/>
      <c r="G322" s="144"/>
      <c r="H322" s="144"/>
      <c r="I322" s="144"/>
      <c r="J322" s="145"/>
      <c r="K322" s="145"/>
      <c r="L322" s="154"/>
      <c r="M322" s="155"/>
      <c r="N322" s="144"/>
      <c r="O322" s="144"/>
      <c r="P322" s="144"/>
      <c r="Q322" s="145"/>
      <c r="R322" s="145"/>
      <c r="S322" s="148"/>
      <c r="T322" s="147"/>
      <c r="U322" s="144"/>
      <c r="V322" s="144"/>
    </row>
    <row r="323" spans="1:22" ht="33.75" customHeight="1" x14ac:dyDescent="0.15">
      <c r="A323" s="144"/>
      <c r="B323" s="144"/>
      <c r="C323" s="145"/>
      <c r="D323" s="145"/>
      <c r="E323" s="148"/>
      <c r="F323" s="147"/>
      <c r="G323" s="144"/>
      <c r="H323" s="144"/>
      <c r="I323" s="144"/>
      <c r="J323" s="145"/>
      <c r="K323" s="145"/>
      <c r="L323" s="154"/>
      <c r="M323" s="155"/>
      <c r="N323" s="144"/>
      <c r="O323" s="144"/>
      <c r="P323" s="144"/>
      <c r="Q323" s="145"/>
      <c r="R323" s="145"/>
      <c r="S323" s="148"/>
      <c r="T323" s="147"/>
      <c r="U323" s="144"/>
      <c r="V323" s="144"/>
    </row>
    <row r="324" spans="1:22" ht="33.75" customHeight="1" x14ac:dyDescent="0.15">
      <c r="A324" s="144"/>
      <c r="B324" s="144"/>
      <c r="C324" s="145"/>
      <c r="D324" s="145"/>
      <c r="E324" s="148"/>
      <c r="F324" s="147"/>
      <c r="G324" s="144"/>
      <c r="H324" s="144"/>
      <c r="I324" s="144"/>
      <c r="J324" s="145"/>
      <c r="K324" s="145"/>
      <c r="L324" s="154"/>
      <c r="M324" s="155"/>
      <c r="N324" s="144"/>
      <c r="O324" s="144"/>
      <c r="P324" s="144"/>
      <c r="Q324" s="145"/>
      <c r="R324" s="145"/>
      <c r="S324" s="148"/>
      <c r="T324" s="147"/>
      <c r="U324" s="144"/>
      <c r="V324" s="144"/>
    </row>
    <row r="325" spans="1:22" ht="33.75" customHeight="1" x14ac:dyDescent="0.15">
      <c r="A325" s="144"/>
      <c r="B325" s="144"/>
      <c r="C325" s="145"/>
      <c r="D325" s="145"/>
      <c r="E325" s="148"/>
      <c r="F325" s="147"/>
      <c r="G325" s="144"/>
      <c r="H325" s="144"/>
      <c r="I325" s="144"/>
      <c r="J325" s="145"/>
      <c r="K325" s="145"/>
      <c r="L325" s="154"/>
      <c r="M325" s="155"/>
      <c r="N325" s="144"/>
      <c r="O325" s="144"/>
      <c r="P325" s="144"/>
      <c r="Q325" s="145"/>
      <c r="R325" s="145"/>
      <c r="S325" s="148"/>
      <c r="T325" s="147"/>
      <c r="U325" s="144"/>
      <c r="V325" s="144"/>
    </row>
    <row r="326" spans="1:22" ht="33.75" customHeight="1" x14ac:dyDescent="0.15">
      <c r="A326" s="144"/>
      <c r="B326" s="144"/>
      <c r="C326" s="145"/>
      <c r="D326" s="145"/>
      <c r="E326" s="148"/>
      <c r="F326" s="147"/>
      <c r="G326" s="144"/>
      <c r="H326" s="144"/>
      <c r="I326" s="144"/>
      <c r="J326" s="145"/>
      <c r="K326" s="145"/>
      <c r="L326" s="154"/>
      <c r="M326" s="155"/>
      <c r="N326" s="144"/>
      <c r="O326" s="144"/>
      <c r="P326" s="144"/>
      <c r="Q326" s="145"/>
      <c r="R326" s="145"/>
      <c r="S326" s="148"/>
      <c r="T326" s="147"/>
      <c r="U326" s="144"/>
      <c r="V326" s="144"/>
    </row>
    <row r="327" spans="1:22" ht="33.75" customHeight="1" x14ac:dyDescent="0.15">
      <c r="A327" s="144"/>
      <c r="B327" s="144"/>
      <c r="C327" s="145"/>
      <c r="D327" s="145"/>
      <c r="E327" s="148"/>
      <c r="F327" s="147"/>
      <c r="G327" s="144"/>
      <c r="H327" s="144"/>
      <c r="I327" s="144"/>
      <c r="J327" s="145"/>
      <c r="K327" s="145"/>
      <c r="L327" s="154"/>
      <c r="M327" s="155"/>
      <c r="N327" s="144"/>
      <c r="O327" s="144"/>
      <c r="P327" s="144"/>
      <c r="Q327" s="145"/>
      <c r="R327" s="145"/>
      <c r="S327" s="148"/>
      <c r="T327" s="147"/>
      <c r="U327" s="144"/>
      <c r="V327" s="144"/>
    </row>
    <row r="328" spans="1:22" ht="33.75" customHeight="1" x14ac:dyDescent="0.15">
      <c r="A328" s="144"/>
      <c r="B328" s="144"/>
      <c r="C328" s="145"/>
      <c r="D328" s="145"/>
      <c r="E328" s="148"/>
      <c r="F328" s="147"/>
      <c r="G328" s="144"/>
      <c r="H328" s="144"/>
      <c r="I328" s="144"/>
      <c r="J328" s="145"/>
      <c r="K328" s="145"/>
      <c r="L328" s="154"/>
      <c r="M328" s="155"/>
      <c r="N328" s="144"/>
      <c r="O328" s="144"/>
      <c r="P328" s="144"/>
      <c r="Q328" s="145"/>
      <c r="R328" s="145"/>
      <c r="S328" s="148"/>
      <c r="T328" s="147"/>
      <c r="U328" s="144"/>
      <c r="V328" s="144"/>
    </row>
    <row r="329" spans="1:22" ht="33.75" customHeight="1" x14ac:dyDescent="0.15">
      <c r="A329" s="144"/>
      <c r="B329" s="144"/>
      <c r="C329" s="145"/>
      <c r="D329" s="145"/>
      <c r="E329" s="148"/>
      <c r="F329" s="147"/>
      <c r="G329" s="144"/>
      <c r="H329" s="144"/>
      <c r="I329" s="144"/>
      <c r="J329" s="145"/>
      <c r="K329" s="145"/>
      <c r="L329" s="154"/>
      <c r="M329" s="155"/>
      <c r="N329" s="144"/>
      <c r="O329" s="144"/>
      <c r="P329" s="144"/>
      <c r="Q329" s="145"/>
      <c r="R329" s="145"/>
      <c r="S329" s="148"/>
      <c r="T329" s="147"/>
      <c r="U329" s="144"/>
      <c r="V329" s="144"/>
    </row>
    <row r="330" spans="1:22" ht="33.75" customHeight="1" x14ac:dyDescent="0.15">
      <c r="A330" s="144"/>
      <c r="B330" s="144"/>
      <c r="C330" s="145"/>
      <c r="D330" s="145"/>
      <c r="E330" s="148"/>
      <c r="F330" s="147"/>
      <c r="G330" s="144"/>
      <c r="H330" s="144"/>
      <c r="I330" s="144"/>
      <c r="J330" s="145"/>
      <c r="K330" s="145"/>
      <c r="L330" s="154"/>
      <c r="M330" s="155"/>
      <c r="N330" s="144"/>
      <c r="O330" s="144"/>
      <c r="P330" s="144"/>
      <c r="Q330" s="145"/>
      <c r="R330" s="145"/>
      <c r="S330" s="148"/>
      <c r="T330" s="147"/>
      <c r="U330" s="144"/>
      <c r="V330" s="144"/>
    </row>
    <row r="331" spans="1:22" ht="33.75" customHeight="1" x14ac:dyDescent="0.15">
      <c r="A331" s="144"/>
      <c r="B331" s="144"/>
      <c r="C331" s="145"/>
      <c r="D331" s="145"/>
      <c r="E331" s="148"/>
      <c r="F331" s="147"/>
      <c r="G331" s="144"/>
      <c r="H331" s="144"/>
      <c r="I331" s="144"/>
      <c r="J331" s="145"/>
      <c r="K331" s="145"/>
      <c r="L331" s="154"/>
      <c r="M331" s="155"/>
      <c r="N331" s="144"/>
      <c r="O331" s="144"/>
      <c r="P331" s="144"/>
      <c r="Q331" s="145"/>
      <c r="R331" s="145"/>
      <c r="S331" s="148"/>
      <c r="T331" s="147"/>
      <c r="U331" s="144"/>
      <c r="V331" s="144"/>
    </row>
    <row r="332" spans="1:22" ht="33.75" customHeight="1" x14ac:dyDescent="0.15">
      <c r="A332" s="144"/>
      <c r="B332" s="144"/>
      <c r="C332" s="145"/>
      <c r="D332" s="145"/>
      <c r="E332" s="148"/>
      <c r="F332" s="147"/>
      <c r="G332" s="144"/>
      <c r="H332" s="144"/>
      <c r="I332" s="144"/>
      <c r="J332" s="145"/>
      <c r="K332" s="145"/>
      <c r="L332" s="154"/>
      <c r="M332" s="155"/>
      <c r="N332" s="144"/>
      <c r="O332" s="144"/>
      <c r="P332" s="144"/>
      <c r="Q332" s="145"/>
      <c r="R332" s="145"/>
      <c r="S332" s="148"/>
      <c r="T332" s="147"/>
      <c r="U332" s="144"/>
      <c r="V332" s="144"/>
    </row>
    <row r="333" spans="1:22" ht="33.75" customHeight="1" x14ac:dyDescent="0.15">
      <c r="A333" s="144"/>
      <c r="B333" s="144"/>
      <c r="C333" s="145"/>
      <c r="D333" s="145"/>
      <c r="E333" s="148"/>
      <c r="F333" s="147"/>
      <c r="G333" s="144"/>
      <c r="H333" s="144"/>
      <c r="I333" s="144"/>
      <c r="J333" s="145"/>
      <c r="K333" s="145"/>
      <c r="L333" s="154"/>
      <c r="M333" s="155"/>
      <c r="N333" s="144"/>
      <c r="O333" s="144"/>
      <c r="P333" s="144"/>
      <c r="Q333" s="145"/>
      <c r="R333" s="145"/>
      <c r="S333" s="148"/>
      <c r="T333" s="147"/>
      <c r="U333" s="144"/>
      <c r="V333" s="144"/>
    </row>
    <row r="334" spans="1:22" ht="33.75" customHeight="1" x14ac:dyDescent="0.15">
      <c r="A334" s="144"/>
      <c r="B334" s="144"/>
      <c r="C334" s="145"/>
      <c r="D334" s="145"/>
      <c r="E334" s="148"/>
      <c r="F334" s="147"/>
      <c r="G334" s="144"/>
      <c r="H334" s="144"/>
      <c r="I334" s="144"/>
      <c r="J334" s="145"/>
      <c r="K334" s="145"/>
      <c r="L334" s="154"/>
      <c r="M334" s="155"/>
      <c r="N334" s="144"/>
      <c r="O334" s="144"/>
      <c r="P334" s="144"/>
      <c r="Q334" s="145"/>
      <c r="R334" s="145"/>
      <c r="S334" s="148"/>
      <c r="T334" s="147"/>
      <c r="U334" s="144"/>
      <c r="V334" s="144"/>
    </row>
    <row r="335" spans="1:22" ht="33.75" customHeight="1" x14ac:dyDescent="0.15">
      <c r="A335" s="144"/>
      <c r="B335" s="144"/>
      <c r="C335" s="145"/>
      <c r="D335" s="145"/>
      <c r="E335" s="148"/>
      <c r="F335" s="147"/>
      <c r="G335" s="144"/>
      <c r="H335" s="144"/>
      <c r="I335" s="144"/>
      <c r="J335" s="145"/>
      <c r="K335" s="145"/>
      <c r="L335" s="154"/>
      <c r="M335" s="155"/>
      <c r="N335" s="144"/>
      <c r="O335" s="144"/>
      <c r="P335" s="144"/>
      <c r="Q335" s="145"/>
      <c r="R335" s="145"/>
      <c r="S335" s="148"/>
      <c r="T335" s="147"/>
      <c r="U335" s="144"/>
      <c r="V335" s="144"/>
    </row>
    <row r="336" spans="1:22" ht="33.75" customHeight="1" x14ac:dyDescent="0.15">
      <c r="A336" s="144"/>
      <c r="B336" s="144"/>
      <c r="C336" s="145"/>
      <c r="D336" s="145"/>
      <c r="E336" s="148"/>
      <c r="F336" s="147"/>
      <c r="G336" s="144"/>
      <c r="H336" s="144"/>
      <c r="I336" s="144"/>
      <c r="J336" s="145"/>
      <c r="K336" s="145"/>
      <c r="L336" s="154"/>
      <c r="M336" s="155"/>
      <c r="N336" s="144"/>
      <c r="O336" s="144"/>
      <c r="P336" s="144"/>
      <c r="Q336" s="145"/>
      <c r="R336" s="145"/>
      <c r="S336" s="148"/>
      <c r="T336" s="147"/>
      <c r="U336" s="144"/>
      <c r="V336" s="144"/>
    </row>
    <row r="337" spans="1:22" ht="33.75" customHeight="1" x14ac:dyDescent="0.15">
      <c r="A337" s="144"/>
      <c r="B337" s="144"/>
      <c r="C337" s="145"/>
      <c r="D337" s="145"/>
      <c r="E337" s="148"/>
      <c r="F337" s="147"/>
      <c r="G337" s="144"/>
      <c r="H337" s="144"/>
      <c r="I337" s="144"/>
      <c r="J337" s="145"/>
      <c r="K337" s="145"/>
      <c r="L337" s="154"/>
      <c r="M337" s="155"/>
      <c r="N337" s="144"/>
      <c r="O337" s="144"/>
      <c r="P337" s="144"/>
      <c r="Q337" s="145"/>
      <c r="R337" s="145"/>
      <c r="S337" s="148"/>
      <c r="T337" s="147"/>
      <c r="U337" s="144"/>
      <c r="V337" s="144"/>
    </row>
    <row r="338" spans="1:22" ht="33.75" customHeight="1" x14ac:dyDescent="0.15">
      <c r="A338" s="144"/>
      <c r="B338" s="144"/>
      <c r="C338" s="145"/>
      <c r="D338" s="145"/>
      <c r="E338" s="148"/>
      <c r="F338" s="147"/>
      <c r="G338" s="144"/>
      <c r="H338" s="144"/>
      <c r="I338" s="144"/>
      <c r="J338" s="145"/>
      <c r="K338" s="145"/>
      <c r="L338" s="154"/>
      <c r="M338" s="155"/>
      <c r="N338" s="144"/>
      <c r="O338" s="144"/>
      <c r="P338" s="144"/>
      <c r="Q338" s="145"/>
      <c r="R338" s="145"/>
      <c r="S338" s="148"/>
      <c r="T338" s="147"/>
      <c r="U338" s="144"/>
      <c r="V338" s="144"/>
    </row>
    <row r="339" spans="1:22" ht="33.75" customHeight="1" x14ac:dyDescent="0.15">
      <c r="A339" s="144"/>
      <c r="B339" s="144"/>
      <c r="C339" s="145"/>
      <c r="D339" s="145"/>
      <c r="E339" s="148"/>
      <c r="F339" s="147"/>
      <c r="G339" s="144"/>
      <c r="H339" s="144"/>
      <c r="I339" s="144"/>
      <c r="J339" s="145"/>
      <c r="K339" s="145"/>
      <c r="L339" s="154"/>
      <c r="M339" s="155"/>
      <c r="N339" s="144"/>
      <c r="O339" s="144"/>
      <c r="P339" s="144"/>
      <c r="Q339" s="145"/>
      <c r="R339" s="145"/>
      <c r="S339" s="148"/>
      <c r="T339" s="147"/>
      <c r="U339" s="144"/>
      <c r="V339" s="144"/>
    </row>
    <row r="340" spans="1:22" ht="33.75" customHeight="1" x14ac:dyDescent="0.15">
      <c r="A340" s="144"/>
      <c r="B340" s="144"/>
      <c r="C340" s="145"/>
      <c r="D340" s="145"/>
      <c r="E340" s="148"/>
      <c r="F340" s="147"/>
      <c r="G340" s="144"/>
      <c r="H340" s="144"/>
      <c r="I340" s="144"/>
      <c r="J340" s="145"/>
      <c r="K340" s="145"/>
      <c r="L340" s="154"/>
      <c r="M340" s="155"/>
      <c r="N340" s="144"/>
      <c r="O340" s="144"/>
      <c r="P340" s="144"/>
      <c r="Q340" s="145"/>
      <c r="R340" s="145"/>
      <c r="S340" s="148"/>
      <c r="T340" s="147"/>
      <c r="U340" s="144"/>
      <c r="V340" s="144"/>
    </row>
    <row r="341" spans="1:22" ht="33.75" customHeight="1" x14ac:dyDescent="0.15">
      <c r="A341" s="144"/>
      <c r="B341" s="144"/>
      <c r="C341" s="145"/>
      <c r="D341" s="145"/>
      <c r="E341" s="148"/>
      <c r="F341" s="147"/>
      <c r="G341" s="144"/>
      <c r="H341" s="144"/>
      <c r="I341" s="144"/>
      <c r="J341" s="145"/>
      <c r="K341" s="145"/>
      <c r="L341" s="154"/>
      <c r="M341" s="155"/>
      <c r="N341" s="144"/>
      <c r="O341" s="144"/>
      <c r="P341" s="144"/>
      <c r="Q341" s="145"/>
      <c r="R341" s="145"/>
      <c r="S341" s="148"/>
      <c r="T341" s="147"/>
      <c r="U341" s="144"/>
      <c r="V341" s="144"/>
    </row>
    <row r="342" spans="1:22" ht="33.75" customHeight="1" x14ac:dyDescent="0.15">
      <c r="A342" s="144"/>
      <c r="B342" s="144"/>
      <c r="C342" s="145"/>
      <c r="D342" s="145"/>
      <c r="E342" s="148"/>
      <c r="F342" s="147"/>
      <c r="G342" s="144"/>
      <c r="H342" s="144"/>
      <c r="I342" s="144"/>
      <c r="J342" s="145"/>
      <c r="K342" s="145"/>
      <c r="L342" s="154"/>
      <c r="M342" s="155"/>
      <c r="N342" s="144"/>
      <c r="O342" s="144"/>
      <c r="P342" s="144"/>
      <c r="Q342" s="145"/>
      <c r="R342" s="145"/>
      <c r="S342" s="148"/>
      <c r="T342" s="147"/>
      <c r="U342" s="144"/>
      <c r="V342" s="144"/>
    </row>
    <row r="343" spans="1:22" ht="33.75" customHeight="1" x14ac:dyDescent="0.15">
      <c r="A343" s="144"/>
      <c r="B343" s="144"/>
      <c r="C343" s="145"/>
      <c r="D343" s="145"/>
      <c r="E343" s="148"/>
      <c r="F343" s="147"/>
      <c r="G343" s="144"/>
      <c r="H343" s="144"/>
      <c r="I343" s="144"/>
      <c r="J343" s="145"/>
      <c r="K343" s="145"/>
      <c r="L343" s="154"/>
      <c r="M343" s="155"/>
      <c r="N343" s="144"/>
      <c r="O343" s="144"/>
      <c r="P343" s="144"/>
      <c r="Q343" s="145"/>
      <c r="R343" s="145"/>
      <c r="S343" s="148"/>
      <c r="T343" s="147"/>
      <c r="U343" s="144"/>
      <c r="V343" s="144"/>
    </row>
    <row r="344" spans="1:22" ht="33.75" customHeight="1" x14ac:dyDescent="0.15">
      <c r="A344" s="144"/>
      <c r="B344" s="144"/>
      <c r="C344" s="145"/>
      <c r="D344" s="145"/>
      <c r="E344" s="148"/>
      <c r="F344" s="147"/>
      <c r="G344" s="144"/>
      <c r="H344" s="144"/>
      <c r="I344" s="144"/>
      <c r="J344" s="145"/>
      <c r="K344" s="145"/>
      <c r="L344" s="154"/>
      <c r="M344" s="155"/>
      <c r="N344" s="144"/>
      <c r="O344" s="144"/>
      <c r="P344" s="144"/>
      <c r="Q344" s="145"/>
      <c r="R344" s="145"/>
      <c r="S344" s="148"/>
      <c r="T344" s="147"/>
      <c r="U344" s="144"/>
      <c r="V344" s="144"/>
    </row>
    <row r="345" spans="1:22" ht="33.75" customHeight="1" x14ac:dyDescent="0.15">
      <c r="A345" s="144"/>
      <c r="B345" s="144"/>
      <c r="C345" s="145"/>
      <c r="D345" s="145"/>
      <c r="E345" s="148"/>
      <c r="F345" s="147"/>
      <c r="G345" s="144"/>
      <c r="H345" s="144"/>
      <c r="I345" s="144"/>
      <c r="J345" s="145"/>
      <c r="K345" s="145"/>
      <c r="L345" s="154"/>
      <c r="M345" s="155"/>
      <c r="N345" s="144"/>
      <c r="O345" s="144"/>
      <c r="P345" s="144"/>
      <c r="Q345" s="145"/>
      <c r="R345" s="145"/>
      <c r="S345" s="148"/>
      <c r="T345" s="147"/>
      <c r="U345" s="144"/>
      <c r="V345" s="144"/>
    </row>
    <row r="346" spans="1:22" ht="33.75" customHeight="1" x14ac:dyDescent="0.15">
      <c r="A346" s="144"/>
      <c r="B346" s="144"/>
      <c r="C346" s="145"/>
      <c r="D346" s="145"/>
      <c r="E346" s="148"/>
      <c r="F346" s="147"/>
      <c r="G346" s="144"/>
      <c r="H346" s="144"/>
      <c r="I346" s="144"/>
      <c r="J346" s="145"/>
      <c r="K346" s="145"/>
      <c r="L346" s="154"/>
      <c r="M346" s="155"/>
      <c r="N346" s="144"/>
      <c r="O346" s="144"/>
      <c r="P346" s="144"/>
      <c r="Q346" s="145"/>
      <c r="R346" s="145"/>
      <c r="S346" s="148"/>
      <c r="T346" s="147"/>
      <c r="U346" s="144"/>
      <c r="V346" s="144"/>
    </row>
    <row r="347" spans="1:22" ht="33.75" customHeight="1" x14ac:dyDescent="0.15">
      <c r="A347" s="144"/>
      <c r="B347" s="144"/>
      <c r="C347" s="145"/>
      <c r="D347" s="145"/>
      <c r="E347" s="148"/>
      <c r="F347" s="147"/>
      <c r="G347" s="144"/>
      <c r="H347" s="144"/>
      <c r="I347" s="144"/>
      <c r="J347" s="145"/>
      <c r="K347" s="145"/>
      <c r="L347" s="154"/>
      <c r="M347" s="155"/>
      <c r="N347" s="144"/>
      <c r="O347" s="144"/>
      <c r="P347" s="144"/>
      <c r="Q347" s="145"/>
      <c r="R347" s="145"/>
      <c r="S347" s="148"/>
      <c r="T347" s="147"/>
      <c r="U347" s="144"/>
      <c r="V347" s="144"/>
    </row>
    <row r="348" spans="1:22" ht="33.75" customHeight="1" x14ac:dyDescent="0.15">
      <c r="A348" s="144"/>
      <c r="B348" s="144"/>
      <c r="C348" s="145"/>
      <c r="D348" s="145"/>
      <c r="E348" s="148"/>
      <c r="F348" s="147"/>
      <c r="G348" s="144"/>
      <c r="H348" s="144"/>
      <c r="I348" s="144"/>
      <c r="J348" s="145"/>
      <c r="K348" s="145"/>
      <c r="L348" s="154"/>
      <c r="M348" s="155"/>
      <c r="N348" s="144"/>
      <c r="O348" s="144"/>
      <c r="P348" s="144"/>
      <c r="Q348" s="145"/>
      <c r="R348" s="145"/>
      <c r="S348" s="148"/>
      <c r="T348" s="147"/>
      <c r="U348" s="144"/>
      <c r="V348" s="144"/>
    </row>
    <row r="349" spans="1:22" ht="33.75" customHeight="1" x14ac:dyDescent="0.15">
      <c r="A349" s="144"/>
      <c r="B349" s="144"/>
      <c r="C349" s="145"/>
      <c r="D349" s="145"/>
      <c r="E349" s="148"/>
      <c r="F349" s="147"/>
      <c r="G349" s="144"/>
      <c r="H349" s="144"/>
      <c r="I349" s="144"/>
      <c r="J349" s="145"/>
      <c r="K349" s="145"/>
      <c r="L349" s="154"/>
      <c r="M349" s="155"/>
      <c r="N349" s="144"/>
      <c r="O349" s="144"/>
      <c r="P349" s="144"/>
      <c r="Q349" s="145"/>
      <c r="R349" s="145"/>
      <c r="S349" s="148"/>
      <c r="T349" s="147"/>
      <c r="U349" s="144"/>
      <c r="V349" s="144"/>
    </row>
    <row r="350" spans="1:22" ht="33.75" customHeight="1" x14ac:dyDescent="0.15">
      <c r="A350" s="144"/>
      <c r="B350" s="144"/>
      <c r="C350" s="145"/>
      <c r="D350" s="145"/>
      <c r="E350" s="148"/>
      <c r="F350" s="147"/>
      <c r="G350" s="144"/>
      <c r="H350" s="144"/>
      <c r="I350" s="144"/>
      <c r="J350" s="145"/>
      <c r="K350" s="145"/>
      <c r="L350" s="154"/>
      <c r="M350" s="155"/>
      <c r="N350" s="144"/>
      <c r="O350" s="144"/>
      <c r="P350" s="144"/>
      <c r="Q350" s="145"/>
      <c r="R350" s="145"/>
      <c r="S350" s="148"/>
      <c r="T350" s="147"/>
      <c r="U350" s="144"/>
      <c r="V350" s="144"/>
    </row>
    <row r="351" spans="1:22" ht="33.75" customHeight="1" x14ac:dyDescent="0.15">
      <c r="A351" s="144"/>
      <c r="B351" s="144"/>
      <c r="C351" s="145"/>
      <c r="D351" s="145"/>
      <c r="E351" s="148"/>
      <c r="F351" s="147"/>
      <c r="G351" s="144"/>
      <c r="H351" s="144"/>
      <c r="I351" s="144"/>
      <c r="J351" s="145"/>
      <c r="K351" s="145"/>
      <c r="L351" s="154"/>
      <c r="M351" s="155"/>
      <c r="N351" s="144"/>
      <c r="O351" s="144"/>
      <c r="P351" s="144"/>
      <c r="Q351" s="145"/>
      <c r="R351" s="145"/>
      <c r="S351" s="148"/>
      <c r="T351" s="147"/>
      <c r="U351" s="144"/>
      <c r="V351" s="144"/>
    </row>
    <row r="352" spans="1:22" ht="33.75" customHeight="1" x14ac:dyDescent="0.15">
      <c r="A352" s="144"/>
      <c r="B352" s="144"/>
      <c r="C352" s="145"/>
      <c r="D352" s="145"/>
      <c r="E352" s="148"/>
      <c r="F352" s="147"/>
      <c r="G352" s="144"/>
      <c r="H352" s="144"/>
      <c r="I352" s="144"/>
      <c r="J352" s="145"/>
      <c r="K352" s="145"/>
      <c r="L352" s="154"/>
      <c r="M352" s="155"/>
      <c r="N352" s="144"/>
      <c r="O352" s="144"/>
      <c r="P352" s="144"/>
      <c r="Q352" s="145"/>
      <c r="R352" s="145"/>
      <c r="S352" s="148"/>
      <c r="T352" s="147"/>
      <c r="U352" s="144"/>
      <c r="V352" s="144"/>
    </row>
    <row r="353" spans="1:22" ht="33.75" customHeight="1" x14ac:dyDescent="0.15">
      <c r="A353" s="144"/>
      <c r="B353" s="144"/>
      <c r="C353" s="145"/>
      <c r="D353" s="145"/>
      <c r="E353" s="148"/>
      <c r="F353" s="147"/>
      <c r="G353" s="144"/>
      <c r="H353" s="144"/>
      <c r="I353" s="144"/>
      <c r="J353" s="145"/>
      <c r="K353" s="145"/>
      <c r="L353" s="154"/>
      <c r="M353" s="155"/>
      <c r="N353" s="144"/>
      <c r="O353" s="144"/>
      <c r="P353" s="144"/>
      <c r="Q353" s="145"/>
      <c r="R353" s="145"/>
      <c r="S353" s="148"/>
      <c r="T353" s="147"/>
      <c r="U353" s="144"/>
      <c r="V353" s="144"/>
    </row>
    <row r="354" spans="1:22" ht="33.75" customHeight="1" x14ac:dyDescent="0.15">
      <c r="A354" s="144"/>
      <c r="B354" s="144"/>
      <c r="C354" s="145"/>
      <c r="D354" s="145"/>
      <c r="E354" s="148"/>
      <c r="F354" s="147"/>
      <c r="G354" s="144"/>
      <c r="H354" s="144"/>
      <c r="I354" s="144"/>
      <c r="J354" s="145"/>
      <c r="K354" s="145"/>
      <c r="L354" s="154"/>
      <c r="M354" s="155"/>
      <c r="N354" s="144"/>
      <c r="O354" s="144"/>
      <c r="P354" s="144"/>
      <c r="Q354" s="145"/>
      <c r="R354" s="145"/>
      <c r="S354" s="148"/>
      <c r="T354" s="147"/>
      <c r="U354" s="144"/>
      <c r="V354" s="144"/>
    </row>
    <row r="355" spans="1:22" ht="33.75" customHeight="1" x14ac:dyDescent="0.15">
      <c r="A355" s="144"/>
      <c r="B355" s="144"/>
      <c r="C355" s="145"/>
      <c r="D355" s="145"/>
      <c r="E355" s="148"/>
      <c r="F355" s="147"/>
      <c r="G355" s="144"/>
      <c r="H355" s="144"/>
      <c r="I355" s="144"/>
      <c r="J355" s="145"/>
      <c r="K355" s="145"/>
      <c r="L355" s="154"/>
      <c r="M355" s="155"/>
      <c r="N355" s="144"/>
      <c r="O355" s="144"/>
      <c r="P355" s="144"/>
      <c r="Q355" s="145"/>
      <c r="R355" s="145"/>
      <c r="S355" s="148"/>
      <c r="T355" s="147"/>
      <c r="U355" s="144"/>
      <c r="V355" s="144"/>
    </row>
    <row r="356" spans="1:22" ht="33.75" customHeight="1" x14ac:dyDescent="0.15">
      <c r="A356" s="144"/>
      <c r="B356" s="144"/>
      <c r="C356" s="145"/>
      <c r="D356" s="145"/>
      <c r="E356" s="148"/>
      <c r="F356" s="147"/>
      <c r="G356" s="144"/>
      <c r="H356" s="144"/>
      <c r="I356" s="144"/>
      <c r="J356" s="145"/>
      <c r="K356" s="145"/>
      <c r="L356" s="154"/>
      <c r="M356" s="155"/>
      <c r="N356" s="144"/>
      <c r="O356" s="144"/>
      <c r="P356" s="144"/>
      <c r="Q356" s="145"/>
      <c r="R356" s="145"/>
      <c r="S356" s="148"/>
      <c r="T356" s="147"/>
      <c r="U356" s="144"/>
      <c r="V356" s="144"/>
    </row>
    <row r="357" spans="1:22" ht="33.75" customHeight="1" x14ac:dyDescent="0.15">
      <c r="A357" s="144"/>
      <c r="B357" s="144"/>
      <c r="C357" s="145"/>
      <c r="D357" s="145"/>
      <c r="E357" s="148"/>
      <c r="F357" s="147"/>
      <c r="G357" s="144"/>
      <c r="H357" s="144"/>
      <c r="I357" s="144"/>
      <c r="J357" s="145"/>
      <c r="K357" s="145"/>
      <c r="L357" s="154"/>
      <c r="M357" s="155"/>
      <c r="N357" s="144"/>
      <c r="O357" s="144"/>
      <c r="P357" s="144"/>
      <c r="Q357" s="145"/>
      <c r="R357" s="145"/>
      <c r="S357" s="148"/>
      <c r="T357" s="147"/>
      <c r="U357" s="144"/>
      <c r="V357" s="144"/>
    </row>
    <row r="358" spans="1:22" ht="33.75" customHeight="1" x14ac:dyDescent="0.15">
      <c r="A358" s="144"/>
      <c r="B358" s="144"/>
      <c r="C358" s="145"/>
      <c r="D358" s="145"/>
      <c r="E358" s="148"/>
      <c r="F358" s="147"/>
      <c r="G358" s="144"/>
      <c r="H358" s="144"/>
      <c r="I358" s="144"/>
      <c r="J358" s="145"/>
      <c r="K358" s="145"/>
      <c r="L358" s="154"/>
      <c r="M358" s="155"/>
      <c r="N358" s="144"/>
      <c r="O358" s="144"/>
      <c r="P358" s="144"/>
      <c r="Q358" s="145"/>
      <c r="R358" s="145"/>
      <c r="S358" s="148"/>
      <c r="T358" s="147"/>
      <c r="U358" s="144"/>
      <c r="V358" s="144"/>
    </row>
    <row r="359" spans="1:22" ht="33.75" customHeight="1" x14ac:dyDescent="0.15">
      <c r="A359" s="144"/>
      <c r="B359" s="144"/>
      <c r="C359" s="145"/>
      <c r="D359" s="145"/>
      <c r="E359" s="148"/>
      <c r="F359" s="147"/>
      <c r="G359" s="144"/>
      <c r="H359" s="144"/>
      <c r="I359" s="144"/>
      <c r="J359" s="145"/>
      <c r="K359" s="145"/>
      <c r="L359" s="154"/>
      <c r="M359" s="155"/>
      <c r="N359" s="144"/>
      <c r="O359" s="144"/>
      <c r="P359" s="144"/>
      <c r="Q359" s="145"/>
      <c r="R359" s="145"/>
      <c r="S359" s="148"/>
      <c r="T359" s="147"/>
      <c r="U359" s="144"/>
      <c r="V359" s="144"/>
    </row>
    <row r="360" spans="1:22" ht="33.75" customHeight="1" x14ac:dyDescent="0.15">
      <c r="A360" s="144"/>
      <c r="B360" s="144"/>
      <c r="C360" s="145"/>
      <c r="D360" s="145"/>
      <c r="E360" s="148"/>
      <c r="F360" s="147"/>
      <c r="G360" s="144"/>
      <c r="H360" s="144"/>
      <c r="I360" s="144"/>
      <c r="J360" s="145"/>
      <c r="K360" s="145"/>
      <c r="L360" s="154"/>
      <c r="M360" s="155"/>
      <c r="N360" s="144"/>
      <c r="O360" s="144"/>
      <c r="P360" s="144"/>
      <c r="Q360" s="145"/>
      <c r="R360" s="145"/>
      <c r="S360" s="148"/>
      <c r="T360" s="147"/>
      <c r="U360" s="144"/>
      <c r="V360" s="144"/>
    </row>
    <row r="361" spans="1:22" ht="33.75" customHeight="1" x14ac:dyDescent="0.15">
      <c r="A361" s="144"/>
      <c r="B361" s="144"/>
      <c r="C361" s="145"/>
      <c r="D361" s="145"/>
      <c r="E361" s="148"/>
      <c r="F361" s="147"/>
      <c r="G361" s="144"/>
      <c r="H361" s="144"/>
      <c r="I361" s="144"/>
      <c r="J361" s="145"/>
      <c r="K361" s="145"/>
      <c r="L361" s="154"/>
      <c r="M361" s="155"/>
      <c r="N361" s="144"/>
      <c r="O361" s="144"/>
      <c r="P361" s="144"/>
      <c r="Q361" s="145"/>
      <c r="R361" s="145"/>
      <c r="S361" s="148"/>
      <c r="T361" s="147"/>
      <c r="U361" s="144"/>
      <c r="V361" s="144"/>
    </row>
    <row r="362" spans="1:22" ht="33.75" customHeight="1" x14ac:dyDescent="0.15">
      <c r="A362" s="144"/>
      <c r="B362" s="144"/>
      <c r="C362" s="145"/>
      <c r="D362" s="145"/>
      <c r="E362" s="148"/>
      <c r="F362" s="147"/>
      <c r="G362" s="144"/>
      <c r="H362" s="144"/>
      <c r="I362" s="144"/>
      <c r="J362" s="145"/>
      <c r="K362" s="145"/>
      <c r="L362" s="154"/>
      <c r="M362" s="155"/>
      <c r="N362" s="144"/>
      <c r="O362" s="144"/>
      <c r="P362" s="144"/>
      <c r="Q362" s="145"/>
      <c r="R362" s="145"/>
      <c r="S362" s="148"/>
      <c r="T362" s="147"/>
      <c r="U362" s="144"/>
      <c r="V362" s="144"/>
    </row>
    <row r="363" spans="1:22" ht="33.75" customHeight="1" x14ac:dyDescent="0.15">
      <c r="A363" s="144"/>
      <c r="B363" s="144"/>
      <c r="C363" s="145"/>
      <c r="D363" s="145"/>
      <c r="E363" s="148"/>
      <c r="F363" s="147"/>
      <c r="G363" s="144"/>
      <c r="H363" s="144"/>
      <c r="I363" s="144"/>
      <c r="J363" s="145"/>
      <c r="K363" s="145"/>
      <c r="L363" s="154"/>
      <c r="M363" s="155"/>
      <c r="N363" s="144"/>
      <c r="O363" s="144"/>
      <c r="P363" s="144"/>
      <c r="Q363" s="145"/>
      <c r="R363" s="145"/>
      <c r="S363" s="148"/>
      <c r="T363" s="147"/>
      <c r="U363" s="144"/>
      <c r="V363" s="144"/>
    </row>
    <row r="364" spans="1:22" ht="33.75" customHeight="1" x14ac:dyDescent="0.15">
      <c r="A364" s="144"/>
      <c r="B364" s="144"/>
      <c r="C364" s="145"/>
      <c r="D364" s="145"/>
      <c r="E364" s="148"/>
      <c r="F364" s="147"/>
      <c r="G364" s="144"/>
      <c r="H364" s="144"/>
      <c r="I364" s="144"/>
      <c r="J364" s="145"/>
      <c r="K364" s="145"/>
      <c r="L364" s="154"/>
      <c r="M364" s="155"/>
      <c r="N364" s="144"/>
      <c r="O364" s="144"/>
      <c r="P364" s="144"/>
      <c r="Q364" s="145"/>
      <c r="R364" s="145"/>
      <c r="S364" s="148"/>
      <c r="T364" s="147"/>
      <c r="U364" s="144"/>
      <c r="V364" s="144"/>
    </row>
    <row r="365" spans="1:22" ht="33.75" customHeight="1" x14ac:dyDescent="0.15">
      <c r="A365" s="144"/>
      <c r="B365" s="144"/>
      <c r="C365" s="145"/>
      <c r="D365" s="145"/>
      <c r="E365" s="148"/>
      <c r="F365" s="147"/>
      <c r="G365" s="144"/>
      <c r="H365" s="144"/>
      <c r="I365" s="144"/>
      <c r="J365" s="145"/>
      <c r="K365" s="145"/>
      <c r="L365" s="154"/>
      <c r="M365" s="155"/>
      <c r="N365" s="144"/>
      <c r="O365" s="144"/>
      <c r="P365" s="144"/>
      <c r="Q365" s="145"/>
      <c r="R365" s="145"/>
      <c r="S365" s="148"/>
      <c r="T365" s="147"/>
      <c r="U365" s="144"/>
      <c r="V365" s="144"/>
    </row>
    <row r="366" spans="1:22" ht="33.75" customHeight="1" x14ac:dyDescent="0.15">
      <c r="A366" s="144"/>
      <c r="B366" s="144"/>
      <c r="C366" s="145"/>
      <c r="D366" s="145"/>
      <c r="E366" s="148"/>
      <c r="F366" s="147"/>
      <c r="G366" s="144"/>
      <c r="H366" s="144"/>
      <c r="I366" s="144"/>
      <c r="J366" s="145"/>
      <c r="K366" s="145"/>
      <c r="L366" s="154"/>
      <c r="M366" s="155"/>
      <c r="N366" s="144"/>
      <c r="O366" s="144"/>
      <c r="P366" s="144"/>
      <c r="Q366" s="145"/>
      <c r="R366" s="145"/>
      <c r="S366" s="148"/>
      <c r="T366" s="147"/>
      <c r="U366" s="144"/>
      <c r="V366" s="144"/>
    </row>
    <row r="367" spans="1:22" ht="33.75" customHeight="1" x14ac:dyDescent="0.15">
      <c r="A367" s="144"/>
      <c r="B367" s="144"/>
      <c r="C367" s="145"/>
      <c r="D367" s="145"/>
      <c r="E367" s="148"/>
      <c r="F367" s="147"/>
      <c r="G367" s="144"/>
      <c r="H367" s="144"/>
      <c r="I367" s="144"/>
      <c r="J367" s="145"/>
      <c r="K367" s="145"/>
      <c r="L367" s="154"/>
      <c r="M367" s="155"/>
      <c r="N367" s="144"/>
      <c r="O367" s="144"/>
      <c r="P367" s="144"/>
      <c r="Q367" s="145"/>
      <c r="R367" s="145"/>
      <c r="S367" s="148"/>
      <c r="T367" s="147"/>
      <c r="U367" s="144"/>
      <c r="V367" s="144"/>
    </row>
    <row r="368" spans="1:22" ht="33.75" customHeight="1" x14ac:dyDescent="0.15">
      <c r="A368" s="144"/>
      <c r="B368" s="144"/>
      <c r="C368" s="145"/>
      <c r="D368" s="145"/>
      <c r="E368" s="148"/>
      <c r="F368" s="147"/>
      <c r="G368" s="144"/>
      <c r="H368" s="144"/>
      <c r="I368" s="144"/>
      <c r="J368" s="145"/>
      <c r="K368" s="145"/>
      <c r="L368" s="154"/>
      <c r="M368" s="155"/>
      <c r="N368" s="144"/>
      <c r="O368" s="144"/>
      <c r="P368" s="144"/>
      <c r="Q368" s="145"/>
      <c r="R368" s="145"/>
      <c r="S368" s="148"/>
      <c r="T368" s="147"/>
      <c r="U368" s="144"/>
      <c r="V368" s="144"/>
    </row>
    <row r="369" spans="1:22" ht="33.75" customHeight="1" x14ac:dyDescent="0.15">
      <c r="A369" s="144"/>
      <c r="B369" s="144"/>
      <c r="C369" s="145"/>
      <c r="D369" s="145"/>
      <c r="E369" s="148"/>
      <c r="F369" s="147"/>
      <c r="G369" s="144"/>
      <c r="H369" s="144"/>
      <c r="I369" s="144"/>
      <c r="J369" s="145"/>
      <c r="K369" s="145"/>
      <c r="L369" s="154"/>
      <c r="M369" s="155"/>
      <c r="N369" s="144"/>
      <c r="O369" s="144"/>
      <c r="P369" s="144"/>
      <c r="Q369" s="145"/>
      <c r="R369" s="145"/>
      <c r="S369" s="148"/>
      <c r="T369" s="147"/>
      <c r="U369" s="144"/>
      <c r="V369" s="144"/>
    </row>
    <row r="370" spans="1:22" ht="33.75" customHeight="1" x14ac:dyDescent="0.15">
      <c r="A370" s="144"/>
      <c r="B370" s="144"/>
      <c r="C370" s="145"/>
      <c r="D370" s="145"/>
      <c r="E370" s="148"/>
      <c r="F370" s="147"/>
      <c r="G370" s="144"/>
      <c r="H370" s="144"/>
      <c r="I370" s="144"/>
      <c r="J370" s="145"/>
      <c r="K370" s="145"/>
      <c r="L370" s="154"/>
      <c r="M370" s="155"/>
      <c r="N370" s="144"/>
      <c r="O370" s="144"/>
      <c r="P370" s="144"/>
      <c r="Q370" s="145"/>
      <c r="R370" s="145"/>
      <c r="S370" s="148"/>
      <c r="T370" s="147"/>
      <c r="U370" s="144"/>
      <c r="V370" s="144"/>
    </row>
    <row r="371" spans="1:22" ht="33.75" customHeight="1" x14ac:dyDescent="0.15">
      <c r="A371" s="144"/>
      <c r="B371" s="144"/>
      <c r="C371" s="145"/>
      <c r="D371" s="145"/>
      <c r="E371" s="148"/>
      <c r="F371" s="147"/>
      <c r="G371" s="144"/>
      <c r="H371" s="144"/>
      <c r="I371" s="144"/>
      <c r="J371" s="145"/>
      <c r="K371" s="145"/>
      <c r="L371" s="154"/>
      <c r="M371" s="155"/>
      <c r="N371" s="144"/>
      <c r="O371" s="144"/>
      <c r="P371" s="144"/>
      <c r="Q371" s="145"/>
      <c r="R371" s="145"/>
      <c r="S371" s="148"/>
      <c r="T371" s="147"/>
      <c r="U371" s="144"/>
      <c r="V371" s="144"/>
    </row>
    <row r="372" spans="1:22" ht="33.75" customHeight="1" x14ac:dyDescent="0.15">
      <c r="A372" s="144"/>
      <c r="B372" s="144"/>
      <c r="C372" s="145"/>
      <c r="D372" s="145"/>
      <c r="E372" s="148"/>
      <c r="F372" s="147"/>
      <c r="G372" s="144"/>
      <c r="H372" s="144"/>
      <c r="I372" s="144"/>
      <c r="J372" s="145"/>
      <c r="K372" s="145"/>
      <c r="L372" s="154"/>
      <c r="M372" s="155"/>
      <c r="N372" s="144"/>
      <c r="O372" s="144"/>
      <c r="P372" s="144"/>
      <c r="Q372" s="145"/>
      <c r="R372" s="145"/>
      <c r="S372" s="148"/>
      <c r="T372" s="147"/>
      <c r="U372" s="144"/>
      <c r="V372" s="144"/>
    </row>
    <row r="373" spans="1:22" ht="33.75" customHeight="1" x14ac:dyDescent="0.15">
      <c r="A373" s="144"/>
      <c r="B373" s="144"/>
      <c r="C373" s="145"/>
      <c r="D373" s="145"/>
      <c r="E373" s="148"/>
      <c r="F373" s="147"/>
      <c r="G373" s="144"/>
      <c r="H373" s="144"/>
      <c r="I373" s="144"/>
      <c r="J373" s="145"/>
      <c r="K373" s="145"/>
      <c r="L373" s="154"/>
      <c r="M373" s="155"/>
      <c r="N373" s="144"/>
      <c r="O373" s="144"/>
      <c r="P373" s="144"/>
      <c r="Q373" s="145"/>
      <c r="R373" s="145"/>
      <c r="S373" s="148"/>
      <c r="T373" s="147"/>
      <c r="U373" s="144"/>
      <c r="V373" s="144"/>
    </row>
    <row r="374" spans="1:22" ht="33.75" customHeight="1" x14ac:dyDescent="0.15">
      <c r="A374" s="144"/>
      <c r="B374" s="144"/>
      <c r="C374" s="145"/>
      <c r="D374" s="145"/>
      <c r="E374" s="148"/>
      <c r="F374" s="147"/>
      <c r="G374" s="144"/>
      <c r="H374" s="144"/>
      <c r="I374" s="144"/>
      <c r="J374" s="145"/>
      <c r="K374" s="145"/>
      <c r="L374" s="154"/>
      <c r="M374" s="155"/>
      <c r="N374" s="144"/>
      <c r="O374" s="144"/>
      <c r="P374" s="144"/>
      <c r="Q374" s="145"/>
      <c r="R374" s="145"/>
      <c r="S374" s="148"/>
      <c r="T374" s="147"/>
      <c r="U374" s="144"/>
      <c r="V374" s="144"/>
    </row>
    <row r="375" spans="1:22" ht="33.75" customHeight="1" x14ac:dyDescent="0.15">
      <c r="A375" s="144"/>
      <c r="B375" s="144"/>
      <c r="C375" s="145"/>
      <c r="D375" s="145"/>
      <c r="E375" s="148"/>
      <c r="F375" s="147"/>
      <c r="G375" s="144"/>
      <c r="H375" s="144"/>
      <c r="I375" s="144"/>
      <c r="J375" s="145"/>
      <c r="K375" s="145"/>
      <c r="L375" s="154"/>
      <c r="M375" s="155"/>
      <c r="N375" s="144"/>
      <c r="O375" s="144"/>
      <c r="P375" s="144"/>
      <c r="Q375" s="145"/>
      <c r="R375" s="145"/>
      <c r="S375" s="148"/>
      <c r="T375" s="147"/>
      <c r="U375" s="144"/>
      <c r="V375" s="144"/>
    </row>
    <row r="376" spans="1:22" ht="33.75" customHeight="1" x14ac:dyDescent="0.15">
      <c r="A376" s="144"/>
      <c r="B376" s="144"/>
      <c r="C376" s="145"/>
      <c r="D376" s="145"/>
      <c r="E376" s="148"/>
      <c r="F376" s="147"/>
      <c r="G376" s="144"/>
      <c r="H376" s="144"/>
      <c r="I376" s="144"/>
      <c r="J376" s="145"/>
      <c r="K376" s="145"/>
      <c r="L376" s="154"/>
      <c r="M376" s="155"/>
      <c r="N376" s="144"/>
      <c r="O376" s="144"/>
      <c r="P376" s="144"/>
      <c r="Q376" s="145"/>
      <c r="R376" s="145"/>
      <c r="S376" s="148"/>
      <c r="T376" s="147"/>
      <c r="U376" s="144"/>
      <c r="V376" s="144"/>
    </row>
    <row r="377" spans="1:22" ht="33.75" customHeight="1" x14ac:dyDescent="0.15">
      <c r="A377" s="144"/>
      <c r="B377" s="144"/>
      <c r="C377" s="145"/>
      <c r="D377" s="145"/>
      <c r="E377" s="148"/>
      <c r="F377" s="147"/>
      <c r="G377" s="144"/>
      <c r="H377" s="144"/>
      <c r="I377" s="144"/>
      <c r="J377" s="145"/>
      <c r="K377" s="145"/>
      <c r="L377" s="154"/>
      <c r="M377" s="155"/>
      <c r="N377" s="144"/>
      <c r="O377" s="144"/>
      <c r="P377" s="144"/>
      <c r="Q377" s="145"/>
      <c r="R377" s="145"/>
      <c r="S377" s="148"/>
      <c r="T377" s="147"/>
      <c r="U377" s="144"/>
      <c r="V377" s="144"/>
    </row>
    <row r="378" spans="1:22" ht="33.75" customHeight="1" x14ac:dyDescent="0.15">
      <c r="A378" s="144"/>
      <c r="B378" s="144"/>
      <c r="C378" s="145"/>
      <c r="D378" s="145"/>
      <c r="E378" s="148"/>
      <c r="F378" s="147"/>
      <c r="G378" s="144"/>
      <c r="H378" s="144"/>
      <c r="I378" s="144"/>
      <c r="J378" s="145"/>
      <c r="K378" s="145"/>
      <c r="L378" s="154"/>
      <c r="M378" s="155"/>
      <c r="N378" s="144"/>
      <c r="O378" s="144"/>
      <c r="P378" s="144"/>
      <c r="Q378" s="145"/>
      <c r="R378" s="145"/>
      <c r="S378" s="148"/>
      <c r="T378" s="147"/>
      <c r="U378" s="144"/>
      <c r="V378" s="144"/>
    </row>
    <row r="379" spans="1:22" ht="33.75" customHeight="1" x14ac:dyDescent="0.15">
      <c r="A379" s="144"/>
      <c r="B379" s="144"/>
      <c r="C379" s="145"/>
      <c r="D379" s="145"/>
      <c r="E379" s="148"/>
      <c r="F379" s="147"/>
      <c r="G379" s="144"/>
      <c r="H379" s="144"/>
      <c r="I379" s="144"/>
      <c r="J379" s="145"/>
      <c r="K379" s="145"/>
      <c r="L379" s="154"/>
      <c r="M379" s="155"/>
      <c r="N379" s="144"/>
      <c r="O379" s="144"/>
      <c r="P379" s="144"/>
      <c r="Q379" s="145"/>
      <c r="R379" s="145"/>
      <c r="S379" s="148"/>
      <c r="T379" s="147"/>
      <c r="U379" s="144"/>
      <c r="V379" s="144"/>
    </row>
    <row r="380" spans="1:22" ht="33.75" customHeight="1" x14ac:dyDescent="0.15">
      <c r="A380" s="144"/>
      <c r="B380" s="144"/>
      <c r="C380" s="145"/>
      <c r="D380" s="145"/>
      <c r="E380" s="148"/>
      <c r="F380" s="147"/>
      <c r="G380" s="144"/>
      <c r="H380" s="144"/>
      <c r="I380" s="144"/>
      <c r="J380" s="145"/>
      <c r="K380" s="145"/>
      <c r="L380" s="154"/>
      <c r="M380" s="155"/>
      <c r="N380" s="144"/>
      <c r="O380" s="144"/>
      <c r="P380" s="144"/>
      <c r="Q380" s="145"/>
      <c r="R380" s="145"/>
      <c r="S380" s="148"/>
      <c r="T380" s="147"/>
      <c r="U380" s="144"/>
      <c r="V380" s="144"/>
    </row>
    <row r="381" spans="1:22" ht="33.75" customHeight="1" x14ac:dyDescent="0.15">
      <c r="A381" s="144"/>
      <c r="B381" s="144"/>
      <c r="C381" s="145"/>
      <c r="D381" s="145"/>
      <c r="E381" s="148"/>
      <c r="F381" s="147"/>
      <c r="G381" s="144"/>
      <c r="H381" s="144"/>
      <c r="I381" s="144"/>
      <c r="J381" s="145"/>
      <c r="K381" s="145"/>
      <c r="L381" s="154"/>
      <c r="M381" s="155"/>
      <c r="N381" s="144"/>
      <c r="O381" s="144"/>
      <c r="P381" s="144"/>
      <c r="Q381" s="145"/>
      <c r="R381" s="145"/>
      <c r="S381" s="148"/>
      <c r="T381" s="147"/>
      <c r="U381" s="144"/>
      <c r="V381" s="144"/>
    </row>
    <row r="382" spans="1:22" ht="33.75" customHeight="1" x14ac:dyDescent="0.15">
      <c r="A382" s="144"/>
      <c r="B382" s="144"/>
      <c r="C382" s="145"/>
      <c r="D382" s="145"/>
      <c r="E382" s="148"/>
      <c r="F382" s="147"/>
      <c r="G382" s="144"/>
      <c r="H382" s="144"/>
      <c r="I382" s="144"/>
      <c r="J382" s="145"/>
      <c r="K382" s="145"/>
      <c r="L382" s="154"/>
      <c r="M382" s="155"/>
      <c r="N382" s="144"/>
      <c r="O382" s="144"/>
      <c r="P382" s="144"/>
      <c r="Q382" s="145"/>
      <c r="R382" s="145"/>
      <c r="S382" s="148"/>
      <c r="T382" s="147"/>
      <c r="U382" s="144"/>
      <c r="V382" s="144"/>
    </row>
    <row r="383" spans="1:22" ht="33.75" customHeight="1" x14ac:dyDescent="0.15">
      <c r="A383" s="144"/>
      <c r="B383" s="144"/>
      <c r="C383" s="145"/>
      <c r="D383" s="145"/>
      <c r="E383" s="148"/>
      <c r="F383" s="147"/>
      <c r="G383" s="144"/>
      <c r="H383" s="144"/>
      <c r="I383" s="144"/>
      <c r="J383" s="145"/>
      <c r="K383" s="145"/>
      <c r="L383" s="154"/>
      <c r="M383" s="155"/>
      <c r="N383" s="144"/>
      <c r="O383" s="144"/>
      <c r="P383" s="144"/>
      <c r="Q383" s="145"/>
      <c r="R383" s="145"/>
      <c r="S383" s="148"/>
      <c r="T383" s="147"/>
      <c r="U383" s="144"/>
      <c r="V383" s="144"/>
    </row>
    <row r="384" spans="1:22" ht="33.75" customHeight="1" x14ac:dyDescent="0.15">
      <c r="A384" s="144"/>
      <c r="B384" s="144"/>
      <c r="C384" s="145"/>
      <c r="D384" s="145"/>
      <c r="E384" s="148"/>
      <c r="F384" s="147"/>
      <c r="G384" s="144"/>
      <c r="H384" s="144"/>
      <c r="I384" s="144"/>
      <c r="J384" s="145"/>
      <c r="K384" s="145"/>
      <c r="L384" s="154"/>
      <c r="M384" s="155"/>
      <c r="N384" s="144"/>
      <c r="O384" s="144"/>
      <c r="P384" s="144"/>
      <c r="Q384" s="145"/>
      <c r="R384" s="145"/>
      <c r="S384" s="148"/>
      <c r="T384" s="147"/>
      <c r="U384" s="144"/>
      <c r="V384" s="144"/>
    </row>
    <row r="385" spans="1:22" ht="33.75" customHeight="1" x14ac:dyDescent="0.15">
      <c r="A385" s="144"/>
      <c r="B385" s="144"/>
      <c r="C385" s="145"/>
      <c r="D385" s="145"/>
      <c r="E385" s="148"/>
      <c r="F385" s="147"/>
      <c r="G385" s="144"/>
      <c r="H385" s="144"/>
      <c r="I385" s="144"/>
      <c r="J385" s="145"/>
      <c r="K385" s="145"/>
      <c r="L385" s="154"/>
      <c r="M385" s="155"/>
      <c r="N385" s="144"/>
      <c r="O385" s="144"/>
      <c r="P385" s="144"/>
      <c r="Q385" s="145"/>
      <c r="R385" s="145"/>
      <c r="S385" s="148"/>
      <c r="T385" s="147"/>
      <c r="U385" s="144"/>
      <c r="V385" s="144"/>
    </row>
    <row r="386" spans="1:22" ht="33.75" customHeight="1" x14ac:dyDescent="0.15">
      <c r="A386" s="144"/>
      <c r="B386" s="144"/>
      <c r="C386" s="145"/>
      <c r="D386" s="145"/>
      <c r="E386" s="148"/>
      <c r="F386" s="147"/>
      <c r="G386" s="144"/>
      <c r="H386" s="144"/>
      <c r="I386" s="144"/>
      <c r="J386" s="145"/>
      <c r="K386" s="145"/>
      <c r="L386" s="154"/>
      <c r="M386" s="155"/>
      <c r="N386" s="144"/>
      <c r="O386" s="144"/>
      <c r="P386" s="144"/>
      <c r="Q386" s="145"/>
      <c r="R386" s="145"/>
      <c r="S386" s="148"/>
      <c r="T386" s="147"/>
      <c r="U386" s="144"/>
      <c r="V386" s="144"/>
    </row>
    <row r="387" spans="1:22" ht="33.75" customHeight="1" x14ac:dyDescent="0.15">
      <c r="A387" s="144"/>
      <c r="B387" s="144"/>
      <c r="C387" s="145"/>
      <c r="D387" s="145"/>
      <c r="E387" s="148"/>
      <c r="F387" s="147"/>
      <c r="G387" s="144"/>
      <c r="H387" s="144"/>
      <c r="I387" s="144"/>
      <c r="J387" s="145"/>
      <c r="K387" s="145"/>
      <c r="L387" s="154"/>
      <c r="M387" s="155"/>
      <c r="N387" s="144"/>
      <c r="O387" s="144"/>
      <c r="P387" s="144"/>
      <c r="Q387" s="145"/>
      <c r="R387" s="145"/>
      <c r="S387" s="148"/>
      <c r="T387" s="147"/>
      <c r="U387" s="144"/>
      <c r="V387" s="144"/>
    </row>
    <row r="388" spans="1:22" ht="33.75" customHeight="1" x14ac:dyDescent="0.15">
      <c r="A388" s="144"/>
      <c r="B388" s="144"/>
      <c r="C388" s="145"/>
      <c r="D388" s="145"/>
      <c r="E388" s="148"/>
      <c r="F388" s="147"/>
      <c r="G388" s="144"/>
      <c r="H388" s="144"/>
      <c r="I388" s="144"/>
      <c r="J388" s="145"/>
      <c r="K388" s="145"/>
      <c r="L388" s="154"/>
      <c r="M388" s="155"/>
      <c r="N388" s="144"/>
      <c r="O388" s="144"/>
      <c r="P388" s="144"/>
      <c r="Q388" s="145"/>
      <c r="R388" s="145"/>
      <c r="S388" s="148"/>
      <c r="T388" s="147"/>
      <c r="U388" s="144"/>
      <c r="V388" s="144"/>
    </row>
    <row r="389" spans="1:22" ht="33.75" customHeight="1" x14ac:dyDescent="0.15">
      <c r="A389" s="144"/>
      <c r="B389" s="144"/>
      <c r="C389" s="145"/>
      <c r="D389" s="145"/>
      <c r="E389" s="148"/>
      <c r="F389" s="147"/>
      <c r="G389" s="144"/>
      <c r="H389" s="144"/>
      <c r="I389" s="144"/>
      <c r="J389" s="145"/>
      <c r="K389" s="145"/>
      <c r="L389" s="154"/>
      <c r="M389" s="155"/>
      <c r="N389" s="144"/>
      <c r="O389" s="144"/>
      <c r="P389" s="144"/>
      <c r="Q389" s="145"/>
      <c r="R389" s="145"/>
      <c r="S389" s="148"/>
      <c r="T389" s="147"/>
      <c r="U389" s="144"/>
      <c r="V389" s="144"/>
    </row>
    <row r="390" spans="1:22" ht="33.75" customHeight="1" x14ac:dyDescent="0.15">
      <c r="A390" s="144"/>
      <c r="B390" s="144"/>
      <c r="C390" s="145"/>
      <c r="D390" s="145"/>
      <c r="E390" s="148"/>
      <c r="F390" s="147"/>
      <c r="G390" s="144"/>
      <c r="H390" s="144"/>
      <c r="I390" s="144"/>
      <c r="J390" s="145"/>
      <c r="K390" s="145"/>
      <c r="L390" s="154"/>
      <c r="M390" s="155"/>
      <c r="N390" s="144"/>
      <c r="O390" s="144"/>
      <c r="P390" s="144"/>
      <c r="Q390" s="145"/>
      <c r="R390" s="145"/>
      <c r="S390" s="148"/>
      <c r="T390" s="147"/>
      <c r="U390" s="144"/>
      <c r="V390" s="144"/>
    </row>
    <row r="391" spans="1:22" ht="33.75" customHeight="1" x14ac:dyDescent="0.15">
      <c r="A391" s="144"/>
      <c r="B391" s="144"/>
      <c r="C391" s="145"/>
      <c r="D391" s="145"/>
      <c r="E391" s="148"/>
      <c r="F391" s="147"/>
      <c r="G391" s="144"/>
      <c r="H391" s="144"/>
      <c r="I391" s="144"/>
      <c r="J391" s="145"/>
      <c r="K391" s="145"/>
      <c r="L391" s="154"/>
      <c r="M391" s="155"/>
      <c r="N391" s="144"/>
      <c r="O391" s="144"/>
      <c r="P391" s="144"/>
      <c r="Q391" s="145"/>
      <c r="R391" s="145"/>
      <c r="S391" s="148"/>
      <c r="T391" s="147"/>
      <c r="U391" s="144"/>
      <c r="V391" s="144"/>
    </row>
    <row r="392" spans="1:22" ht="33.75" customHeight="1" x14ac:dyDescent="0.15">
      <c r="A392" s="144"/>
      <c r="B392" s="144"/>
      <c r="C392" s="145"/>
      <c r="D392" s="145"/>
      <c r="E392" s="148"/>
      <c r="F392" s="147"/>
      <c r="G392" s="144"/>
      <c r="H392" s="144"/>
      <c r="I392" s="144"/>
      <c r="J392" s="145"/>
      <c r="K392" s="145"/>
      <c r="L392" s="154"/>
      <c r="M392" s="155"/>
      <c r="N392" s="144"/>
      <c r="O392" s="144"/>
      <c r="P392" s="144"/>
      <c r="Q392" s="145"/>
      <c r="R392" s="145"/>
      <c r="S392" s="148"/>
      <c r="T392" s="147"/>
      <c r="U392" s="144"/>
      <c r="V392" s="144"/>
    </row>
    <row r="393" spans="1:22" ht="33.75" customHeight="1" x14ac:dyDescent="0.15">
      <c r="A393" s="144"/>
      <c r="B393" s="144"/>
      <c r="C393" s="145"/>
      <c r="D393" s="145"/>
      <c r="E393" s="148"/>
      <c r="F393" s="147"/>
      <c r="G393" s="144"/>
      <c r="H393" s="144"/>
      <c r="I393" s="144"/>
      <c r="J393" s="145"/>
      <c r="K393" s="145"/>
      <c r="L393" s="154"/>
      <c r="M393" s="155"/>
      <c r="N393" s="144"/>
      <c r="O393" s="144"/>
      <c r="P393" s="144"/>
      <c r="Q393" s="145"/>
      <c r="R393" s="145"/>
      <c r="S393" s="148"/>
      <c r="T393" s="147"/>
      <c r="U393" s="144"/>
      <c r="V393" s="144"/>
    </row>
    <row r="394" spans="1:22" ht="33.75" customHeight="1" x14ac:dyDescent="0.15">
      <c r="A394" s="144"/>
      <c r="B394" s="144"/>
      <c r="C394" s="145"/>
      <c r="D394" s="145"/>
      <c r="E394" s="148"/>
      <c r="F394" s="147"/>
      <c r="G394" s="144"/>
      <c r="H394" s="144"/>
      <c r="I394" s="144"/>
      <c r="J394" s="145"/>
      <c r="K394" s="145"/>
      <c r="L394" s="154"/>
      <c r="M394" s="155"/>
      <c r="N394" s="144"/>
      <c r="O394" s="144"/>
      <c r="P394" s="144"/>
      <c r="Q394" s="145"/>
      <c r="R394" s="145"/>
      <c r="S394" s="148"/>
      <c r="T394" s="147"/>
      <c r="U394" s="144"/>
      <c r="V394" s="144"/>
    </row>
    <row r="395" spans="1:22" ht="33.75" customHeight="1" x14ac:dyDescent="0.15">
      <c r="A395" s="144"/>
      <c r="B395" s="144"/>
      <c r="C395" s="145"/>
      <c r="D395" s="145"/>
      <c r="E395" s="148"/>
      <c r="F395" s="147"/>
      <c r="G395" s="144"/>
      <c r="H395" s="144"/>
      <c r="I395" s="144"/>
      <c r="J395" s="145"/>
      <c r="K395" s="145"/>
      <c r="L395" s="154"/>
      <c r="M395" s="155"/>
      <c r="N395" s="144"/>
      <c r="O395" s="144"/>
      <c r="P395" s="144"/>
      <c r="Q395" s="145"/>
      <c r="R395" s="145"/>
      <c r="S395" s="148"/>
      <c r="T395" s="147"/>
      <c r="U395" s="144"/>
      <c r="V395" s="144"/>
    </row>
    <row r="396" spans="1:22" ht="33.75" customHeight="1" x14ac:dyDescent="0.15">
      <c r="A396" s="144"/>
      <c r="B396" s="144"/>
      <c r="C396" s="145"/>
      <c r="D396" s="145"/>
      <c r="E396" s="148"/>
      <c r="F396" s="147"/>
      <c r="G396" s="144"/>
      <c r="H396" s="144"/>
      <c r="I396" s="144"/>
      <c r="J396" s="145"/>
      <c r="K396" s="145"/>
      <c r="L396" s="154"/>
      <c r="M396" s="155"/>
      <c r="N396" s="144"/>
      <c r="O396" s="144"/>
      <c r="P396" s="144"/>
      <c r="Q396" s="145"/>
      <c r="R396" s="145"/>
      <c r="S396" s="148"/>
      <c r="T396" s="147"/>
      <c r="U396" s="144"/>
      <c r="V396" s="144"/>
    </row>
    <row r="397" spans="1:22" ht="33.75" customHeight="1" x14ac:dyDescent="0.15">
      <c r="A397" s="144"/>
      <c r="B397" s="144"/>
      <c r="C397" s="145"/>
      <c r="D397" s="145"/>
      <c r="E397" s="148"/>
      <c r="F397" s="147"/>
      <c r="G397" s="144"/>
      <c r="H397" s="144"/>
      <c r="I397" s="144"/>
      <c r="J397" s="145"/>
      <c r="K397" s="145"/>
      <c r="L397" s="154"/>
      <c r="M397" s="155"/>
      <c r="N397" s="144"/>
      <c r="O397" s="144"/>
      <c r="P397" s="144"/>
      <c r="Q397" s="145"/>
      <c r="R397" s="145"/>
      <c r="S397" s="148"/>
      <c r="T397" s="147"/>
      <c r="U397" s="144"/>
      <c r="V397" s="144"/>
    </row>
    <row r="398" spans="1:22" ht="33.75" customHeight="1" x14ac:dyDescent="0.15">
      <c r="A398" s="144"/>
      <c r="B398" s="144"/>
      <c r="C398" s="145"/>
      <c r="D398" s="145"/>
      <c r="E398" s="148"/>
      <c r="F398" s="147"/>
      <c r="G398" s="144"/>
      <c r="H398" s="144"/>
      <c r="I398" s="144"/>
      <c r="J398" s="145"/>
      <c r="K398" s="145"/>
      <c r="L398" s="154"/>
      <c r="M398" s="155"/>
      <c r="N398" s="144"/>
      <c r="O398" s="144"/>
      <c r="P398" s="144"/>
      <c r="Q398" s="145"/>
      <c r="R398" s="145"/>
      <c r="S398" s="148"/>
      <c r="T398" s="147"/>
      <c r="U398" s="144"/>
      <c r="V398" s="144"/>
    </row>
    <row r="399" spans="1:22" ht="33.75" customHeight="1" x14ac:dyDescent="0.15">
      <c r="A399" s="144"/>
      <c r="B399" s="144"/>
      <c r="C399" s="145"/>
      <c r="D399" s="145"/>
      <c r="E399" s="148"/>
      <c r="F399" s="147"/>
      <c r="G399" s="144"/>
      <c r="H399" s="144"/>
      <c r="I399" s="144"/>
      <c r="J399" s="145"/>
      <c r="K399" s="145"/>
      <c r="L399" s="154"/>
      <c r="M399" s="155"/>
      <c r="N399" s="144"/>
      <c r="O399" s="144"/>
      <c r="P399" s="144"/>
      <c r="Q399" s="145"/>
      <c r="R399" s="145"/>
      <c r="S399" s="148"/>
      <c r="T399" s="147"/>
      <c r="U399" s="144"/>
      <c r="V399" s="144"/>
    </row>
    <row r="400" spans="1:22" ht="33.75" customHeight="1" x14ac:dyDescent="0.15">
      <c r="A400" s="144"/>
      <c r="B400" s="144"/>
      <c r="C400" s="145"/>
      <c r="D400" s="145"/>
      <c r="E400" s="148"/>
      <c r="F400" s="147"/>
      <c r="G400" s="144"/>
      <c r="H400" s="144"/>
      <c r="I400" s="144"/>
      <c r="J400" s="145"/>
      <c r="K400" s="145"/>
      <c r="L400" s="154"/>
      <c r="M400" s="155"/>
      <c r="N400" s="144"/>
      <c r="O400" s="144"/>
      <c r="P400" s="144"/>
      <c r="Q400" s="145"/>
      <c r="R400" s="145"/>
      <c r="S400" s="148"/>
      <c r="T400" s="147"/>
      <c r="U400" s="144"/>
      <c r="V400" s="144"/>
    </row>
    <row r="401" spans="1:22" ht="33.75" customHeight="1" x14ac:dyDescent="0.15">
      <c r="A401" s="144"/>
      <c r="B401" s="144"/>
      <c r="C401" s="145"/>
      <c r="D401" s="145"/>
      <c r="E401" s="148"/>
      <c r="F401" s="147"/>
      <c r="G401" s="144"/>
      <c r="H401" s="144"/>
      <c r="I401" s="144"/>
      <c r="J401" s="145"/>
      <c r="K401" s="145"/>
      <c r="L401" s="154"/>
      <c r="M401" s="155"/>
      <c r="N401" s="144"/>
      <c r="O401" s="144"/>
      <c r="P401" s="144"/>
      <c r="Q401" s="145"/>
      <c r="R401" s="145"/>
      <c r="S401" s="148"/>
      <c r="T401" s="147"/>
      <c r="U401" s="144"/>
      <c r="V401" s="144"/>
    </row>
    <row r="402" spans="1:22" ht="33.75" customHeight="1" x14ac:dyDescent="0.15">
      <c r="A402" s="144"/>
      <c r="B402" s="144"/>
      <c r="C402" s="145"/>
      <c r="D402" s="145"/>
      <c r="E402" s="148"/>
      <c r="F402" s="147"/>
      <c r="G402" s="144"/>
      <c r="H402" s="144"/>
      <c r="I402" s="144"/>
      <c r="J402" s="145"/>
      <c r="K402" s="145"/>
      <c r="L402" s="154"/>
      <c r="M402" s="155"/>
      <c r="N402" s="144"/>
      <c r="O402" s="144"/>
      <c r="P402" s="144"/>
      <c r="Q402" s="145"/>
      <c r="R402" s="145"/>
      <c r="S402" s="148"/>
      <c r="T402" s="147"/>
      <c r="U402" s="144"/>
      <c r="V402" s="144"/>
    </row>
    <row r="403" spans="1:22" ht="33.75" customHeight="1" x14ac:dyDescent="0.15">
      <c r="A403" s="144"/>
      <c r="B403" s="144"/>
      <c r="C403" s="145"/>
      <c r="D403" s="145"/>
      <c r="E403" s="148"/>
      <c r="F403" s="147"/>
      <c r="G403" s="144"/>
      <c r="H403" s="144"/>
      <c r="I403" s="144"/>
      <c r="J403" s="145"/>
      <c r="K403" s="145"/>
      <c r="L403" s="154"/>
      <c r="M403" s="155"/>
      <c r="N403" s="144"/>
      <c r="O403" s="144"/>
      <c r="P403" s="144"/>
      <c r="Q403" s="145"/>
      <c r="R403" s="145"/>
      <c r="S403" s="148"/>
      <c r="T403" s="147"/>
      <c r="U403" s="144"/>
      <c r="V403" s="144"/>
    </row>
    <row r="404" spans="1:22" ht="33.75" customHeight="1" x14ac:dyDescent="0.15">
      <c r="A404" s="144"/>
      <c r="B404" s="144"/>
      <c r="C404" s="145"/>
      <c r="D404" s="145"/>
      <c r="E404" s="148"/>
      <c r="F404" s="147"/>
      <c r="G404" s="144"/>
      <c r="H404" s="144"/>
      <c r="I404" s="144"/>
      <c r="J404" s="145"/>
      <c r="K404" s="145"/>
      <c r="L404" s="154"/>
      <c r="M404" s="155"/>
      <c r="N404" s="144"/>
      <c r="O404" s="144"/>
      <c r="P404" s="144"/>
      <c r="Q404" s="145"/>
      <c r="R404" s="145"/>
      <c r="S404" s="148"/>
      <c r="T404" s="147"/>
      <c r="U404" s="144"/>
      <c r="V404" s="144"/>
    </row>
    <row r="405" spans="1:22" ht="33.75" customHeight="1" x14ac:dyDescent="0.15">
      <c r="A405" s="144"/>
      <c r="B405" s="144"/>
      <c r="C405" s="145"/>
      <c r="D405" s="145"/>
      <c r="E405" s="148"/>
      <c r="F405" s="147"/>
      <c r="G405" s="144"/>
      <c r="H405" s="144"/>
      <c r="I405" s="144"/>
      <c r="J405" s="145"/>
      <c r="K405" s="145"/>
      <c r="L405" s="154"/>
      <c r="M405" s="155"/>
      <c r="N405" s="144"/>
      <c r="O405" s="144"/>
      <c r="P405" s="144"/>
      <c r="Q405" s="145"/>
      <c r="R405" s="145"/>
      <c r="S405" s="148"/>
      <c r="T405" s="147"/>
      <c r="U405" s="144"/>
      <c r="V405" s="144"/>
    </row>
    <row r="406" spans="1:22" ht="33.75" customHeight="1" x14ac:dyDescent="0.15">
      <c r="A406" s="144"/>
      <c r="B406" s="144"/>
      <c r="C406" s="145"/>
      <c r="D406" s="145"/>
      <c r="E406" s="148"/>
      <c r="F406" s="147"/>
      <c r="G406" s="144"/>
      <c r="H406" s="144"/>
      <c r="I406" s="144"/>
      <c r="J406" s="145"/>
      <c r="K406" s="145"/>
      <c r="L406" s="154"/>
      <c r="M406" s="155"/>
      <c r="N406" s="144"/>
      <c r="O406" s="144"/>
      <c r="P406" s="144"/>
      <c r="Q406" s="145"/>
      <c r="R406" s="145"/>
      <c r="S406" s="148"/>
      <c r="T406" s="147"/>
      <c r="U406" s="144"/>
      <c r="V406" s="144"/>
    </row>
    <row r="407" spans="1:22" ht="33.75" customHeight="1" x14ac:dyDescent="0.15">
      <c r="A407" s="144"/>
      <c r="B407" s="144"/>
      <c r="C407" s="145"/>
      <c r="D407" s="145"/>
      <c r="E407" s="148"/>
      <c r="F407" s="147"/>
      <c r="G407" s="144"/>
      <c r="H407" s="144"/>
      <c r="I407" s="144"/>
      <c r="J407" s="145"/>
      <c r="K407" s="145"/>
      <c r="L407" s="154"/>
      <c r="M407" s="155"/>
      <c r="N407" s="144"/>
      <c r="O407" s="144"/>
      <c r="P407" s="144"/>
      <c r="Q407" s="145"/>
      <c r="R407" s="145"/>
      <c r="S407" s="148"/>
      <c r="T407" s="147"/>
      <c r="U407" s="144"/>
      <c r="V407" s="144"/>
    </row>
    <row r="408" spans="1:22" ht="33.75" customHeight="1" x14ac:dyDescent="0.15">
      <c r="A408" s="144"/>
      <c r="B408" s="144"/>
      <c r="C408" s="145"/>
      <c r="D408" s="145"/>
      <c r="E408" s="148"/>
      <c r="F408" s="147"/>
      <c r="G408" s="144"/>
      <c r="H408" s="144"/>
      <c r="I408" s="144"/>
      <c r="J408" s="145"/>
      <c r="K408" s="145"/>
      <c r="L408" s="154"/>
      <c r="M408" s="155"/>
      <c r="N408" s="144"/>
      <c r="O408" s="144"/>
      <c r="P408" s="144"/>
      <c r="Q408" s="145"/>
      <c r="R408" s="145"/>
      <c r="S408" s="148"/>
      <c r="T408" s="147"/>
      <c r="U408" s="144"/>
      <c r="V408" s="144"/>
    </row>
    <row r="409" spans="1:22" ht="33.75" customHeight="1" x14ac:dyDescent="0.15">
      <c r="A409" s="144"/>
      <c r="B409" s="144"/>
      <c r="C409" s="145"/>
      <c r="D409" s="145"/>
      <c r="E409" s="148"/>
      <c r="F409" s="147"/>
      <c r="G409" s="144"/>
      <c r="H409" s="144"/>
      <c r="I409" s="144"/>
      <c r="J409" s="145"/>
      <c r="K409" s="145"/>
      <c r="L409" s="154"/>
      <c r="M409" s="155"/>
      <c r="N409" s="144"/>
      <c r="O409" s="144"/>
      <c r="P409" s="144"/>
      <c r="Q409" s="145"/>
      <c r="R409" s="145"/>
      <c r="S409" s="148"/>
      <c r="T409" s="147"/>
      <c r="U409" s="144"/>
      <c r="V409" s="144"/>
    </row>
    <row r="410" spans="1:22" ht="33.75" customHeight="1" x14ac:dyDescent="0.15">
      <c r="A410" s="144"/>
      <c r="B410" s="144"/>
      <c r="C410" s="145"/>
      <c r="D410" s="145"/>
      <c r="E410" s="148"/>
      <c r="F410" s="147"/>
      <c r="G410" s="144"/>
      <c r="H410" s="144"/>
      <c r="I410" s="144"/>
      <c r="J410" s="145"/>
      <c r="K410" s="145"/>
      <c r="L410" s="154"/>
      <c r="M410" s="155"/>
      <c r="N410" s="144"/>
      <c r="O410" s="144"/>
      <c r="P410" s="144"/>
      <c r="Q410" s="145"/>
      <c r="R410" s="145"/>
      <c r="S410" s="148"/>
      <c r="T410" s="147"/>
      <c r="U410" s="144"/>
      <c r="V410" s="144"/>
    </row>
    <row r="411" spans="1:22" ht="33.75" customHeight="1" x14ac:dyDescent="0.15">
      <c r="A411" s="144"/>
      <c r="B411" s="144"/>
      <c r="C411" s="145"/>
      <c r="D411" s="145"/>
      <c r="E411" s="148"/>
      <c r="F411" s="147"/>
      <c r="G411" s="144"/>
      <c r="H411" s="144"/>
      <c r="I411" s="144"/>
      <c r="J411" s="145"/>
      <c r="K411" s="145"/>
      <c r="L411" s="154"/>
      <c r="M411" s="155"/>
      <c r="N411" s="144"/>
      <c r="O411" s="144"/>
      <c r="P411" s="144"/>
      <c r="Q411" s="145"/>
      <c r="R411" s="145"/>
      <c r="S411" s="148"/>
      <c r="T411" s="147"/>
      <c r="U411" s="144"/>
      <c r="V411" s="144"/>
    </row>
    <row r="412" spans="1:22" ht="33.75" customHeight="1" x14ac:dyDescent="0.15">
      <c r="A412" s="144"/>
      <c r="B412" s="144"/>
      <c r="C412" s="145"/>
      <c r="D412" s="145"/>
      <c r="E412" s="148"/>
      <c r="F412" s="147"/>
      <c r="G412" s="144"/>
      <c r="H412" s="144"/>
      <c r="I412" s="144"/>
      <c r="J412" s="145"/>
      <c r="K412" s="145"/>
      <c r="L412" s="154"/>
      <c r="M412" s="155"/>
      <c r="N412" s="144"/>
      <c r="O412" s="144"/>
      <c r="P412" s="144"/>
      <c r="Q412" s="145"/>
      <c r="R412" s="145"/>
      <c r="S412" s="148"/>
      <c r="T412" s="147"/>
      <c r="U412" s="144"/>
      <c r="V412" s="144"/>
    </row>
    <row r="413" spans="1:22" ht="33.75" customHeight="1" x14ac:dyDescent="0.15">
      <c r="A413" s="144"/>
      <c r="B413" s="144"/>
      <c r="C413" s="145"/>
      <c r="D413" s="145"/>
      <c r="E413" s="148"/>
      <c r="F413" s="147"/>
      <c r="G413" s="144"/>
      <c r="H413" s="144"/>
      <c r="I413" s="144"/>
      <c r="J413" s="145"/>
      <c r="K413" s="145"/>
      <c r="L413" s="154"/>
      <c r="M413" s="155"/>
      <c r="N413" s="144"/>
      <c r="O413" s="144"/>
      <c r="P413" s="144"/>
      <c r="Q413" s="145"/>
      <c r="R413" s="145"/>
      <c r="S413" s="148"/>
      <c r="T413" s="147"/>
      <c r="U413" s="144"/>
      <c r="V413" s="144"/>
    </row>
    <row r="414" spans="1:22" ht="33.75" customHeight="1" x14ac:dyDescent="0.15">
      <c r="A414" s="144"/>
      <c r="B414" s="144"/>
      <c r="C414" s="145"/>
      <c r="D414" s="145"/>
      <c r="E414" s="148"/>
      <c r="F414" s="147"/>
      <c r="G414" s="144"/>
      <c r="H414" s="144"/>
      <c r="I414" s="144"/>
      <c r="J414" s="145"/>
      <c r="K414" s="145"/>
      <c r="L414" s="154"/>
      <c r="M414" s="155"/>
      <c r="N414" s="144"/>
      <c r="O414" s="144"/>
      <c r="P414" s="144"/>
      <c r="Q414" s="145"/>
      <c r="R414" s="145"/>
      <c r="S414" s="148"/>
      <c r="T414" s="147"/>
      <c r="U414" s="144"/>
      <c r="V414" s="144"/>
    </row>
    <row r="415" spans="1:22" ht="33.75" customHeight="1" x14ac:dyDescent="0.15">
      <c r="A415" s="144"/>
      <c r="B415" s="144"/>
      <c r="C415" s="145"/>
      <c r="D415" s="145"/>
      <c r="E415" s="148"/>
      <c r="F415" s="147"/>
      <c r="G415" s="144"/>
      <c r="H415" s="144"/>
      <c r="I415" s="144"/>
      <c r="J415" s="145"/>
      <c r="K415" s="145"/>
      <c r="L415" s="154"/>
      <c r="M415" s="155"/>
      <c r="N415" s="144"/>
      <c r="O415" s="144"/>
      <c r="P415" s="144"/>
      <c r="Q415" s="145"/>
      <c r="R415" s="145"/>
      <c r="S415" s="148"/>
      <c r="T415" s="147"/>
      <c r="U415" s="144"/>
      <c r="V415" s="144"/>
    </row>
    <row r="416" spans="1:22" ht="33.75" customHeight="1" x14ac:dyDescent="0.15">
      <c r="A416" s="144"/>
      <c r="B416" s="144"/>
      <c r="C416" s="145"/>
      <c r="D416" s="145"/>
      <c r="E416" s="148"/>
      <c r="F416" s="147"/>
      <c r="G416" s="144"/>
      <c r="H416" s="144"/>
      <c r="I416" s="144"/>
      <c r="J416" s="145"/>
      <c r="K416" s="145"/>
      <c r="L416" s="154"/>
      <c r="M416" s="155"/>
      <c r="N416" s="144"/>
      <c r="O416" s="144"/>
      <c r="P416" s="144"/>
      <c r="Q416" s="145"/>
      <c r="R416" s="145"/>
      <c r="S416" s="148"/>
      <c r="T416" s="147"/>
      <c r="U416" s="144"/>
      <c r="V416" s="144"/>
    </row>
    <row r="417" spans="1:22" ht="33.75" customHeight="1" x14ac:dyDescent="0.15">
      <c r="A417" s="144"/>
      <c r="B417" s="144"/>
      <c r="C417" s="145"/>
      <c r="D417" s="145"/>
      <c r="E417" s="148"/>
      <c r="F417" s="147"/>
      <c r="G417" s="144"/>
      <c r="H417" s="144"/>
      <c r="I417" s="144"/>
      <c r="J417" s="145"/>
      <c r="K417" s="145"/>
      <c r="L417" s="154"/>
      <c r="M417" s="155"/>
      <c r="N417" s="144"/>
      <c r="O417" s="144"/>
      <c r="P417" s="144"/>
      <c r="Q417" s="145"/>
      <c r="R417" s="145"/>
      <c r="S417" s="148"/>
      <c r="T417" s="147"/>
      <c r="U417" s="144"/>
      <c r="V417" s="144"/>
    </row>
    <row r="418" spans="1:22" ht="33.75" customHeight="1" x14ac:dyDescent="0.15">
      <c r="A418" s="144"/>
      <c r="B418" s="144"/>
      <c r="C418" s="145"/>
      <c r="D418" s="145"/>
      <c r="E418" s="148"/>
      <c r="F418" s="147"/>
      <c r="G418" s="144"/>
      <c r="H418" s="144"/>
      <c r="I418" s="144"/>
      <c r="J418" s="145"/>
      <c r="K418" s="145"/>
      <c r="L418" s="154"/>
      <c r="M418" s="155"/>
      <c r="N418" s="144"/>
      <c r="O418" s="144"/>
      <c r="P418" s="144"/>
      <c r="Q418" s="145"/>
      <c r="R418" s="145"/>
      <c r="S418" s="148"/>
      <c r="T418" s="147"/>
      <c r="U418" s="144"/>
      <c r="V418" s="144"/>
    </row>
    <row r="419" spans="1:22" ht="33.75" customHeight="1" x14ac:dyDescent="0.15">
      <c r="A419" s="144"/>
      <c r="B419" s="144"/>
      <c r="C419" s="145"/>
      <c r="D419" s="145"/>
      <c r="E419" s="148"/>
      <c r="F419" s="147"/>
      <c r="G419" s="144"/>
      <c r="H419" s="144"/>
      <c r="I419" s="144"/>
      <c r="J419" s="145"/>
      <c r="K419" s="145"/>
      <c r="L419" s="154"/>
      <c r="M419" s="155"/>
      <c r="N419" s="144"/>
      <c r="O419" s="144"/>
      <c r="P419" s="144"/>
      <c r="Q419" s="145"/>
      <c r="R419" s="145"/>
      <c r="S419" s="148"/>
      <c r="T419" s="147"/>
      <c r="U419" s="144"/>
      <c r="V419" s="144"/>
    </row>
    <row r="420" spans="1:22" ht="33.75" customHeight="1" x14ac:dyDescent="0.15">
      <c r="A420" s="144"/>
      <c r="B420" s="144"/>
      <c r="C420" s="145"/>
      <c r="D420" s="145"/>
      <c r="E420" s="148"/>
      <c r="F420" s="147"/>
      <c r="G420" s="144"/>
      <c r="H420" s="144"/>
      <c r="I420" s="144"/>
      <c r="J420" s="145"/>
      <c r="K420" s="145"/>
      <c r="L420" s="154"/>
      <c r="M420" s="155"/>
      <c r="N420" s="144"/>
      <c r="O420" s="144"/>
      <c r="P420" s="144"/>
      <c r="Q420" s="145"/>
      <c r="R420" s="145"/>
      <c r="S420" s="148"/>
      <c r="T420" s="147"/>
      <c r="U420" s="144"/>
      <c r="V420" s="144"/>
    </row>
    <row r="421" spans="1:22" ht="33.75" customHeight="1" x14ac:dyDescent="0.15">
      <c r="A421" s="144"/>
      <c r="B421" s="144"/>
      <c r="C421" s="145"/>
      <c r="D421" s="145"/>
      <c r="E421" s="148"/>
      <c r="F421" s="147"/>
      <c r="G421" s="144"/>
      <c r="H421" s="144"/>
      <c r="I421" s="144"/>
      <c r="J421" s="145"/>
      <c r="K421" s="145"/>
      <c r="L421" s="154"/>
      <c r="M421" s="155"/>
      <c r="N421" s="144"/>
      <c r="O421" s="144"/>
      <c r="P421" s="144"/>
      <c r="Q421" s="145"/>
      <c r="R421" s="145"/>
      <c r="S421" s="148"/>
      <c r="T421" s="147"/>
      <c r="U421" s="144"/>
      <c r="V421" s="144"/>
    </row>
    <row r="422" spans="1:22" ht="33.75" customHeight="1" x14ac:dyDescent="0.15">
      <c r="A422" s="144"/>
      <c r="B422" s="144"/>
      <c r="C422" s="145"/>
      <c r="D422" s="145"/>
      <c r="E422" s="148"/>
      <c r="F422" s="147"/>
      <c r="G422" s="144"/>
      <c r="H422" s="144"/>
      <c r="I422" s="144"/>
      <c r="J422" s="145"/>
      <c r="K422" s="145"/>
      <c r="L422" s="154"/>
      <c r="M422" s="155"/>
      <c r="N422" s="144"/>
      <c r="O422" s="144"/>
      <c r="P422" s="144"/>
      <c r="Q422" s="145"/>
      <c r="R422" s="145"/>
      <c r="S422" s="148"/>
      <c r="T422" s="147"/>
      <c r="U422" s="144"/>
      <c r="V422" s="144"/>
    </row>
    <row r="423" spans="1:22" ht="33.75" customHeight="1" x14ac:dyDescent="0.15">
      <c r="A423" s="144"/>
      <c r="B423" s="144"/>
      <c r="C423" s="145"/>
      <c r="D423" s="145"/>
      <c r="E423" s="148"/>
      <c r="F423" s="147"/>
      <c r="G423" s="144"/>
      <c r="H423" s="144"/>
      <c r="I423" s="144"/>
      <c r="J423" s="145"/>
      <c r="K423" s="145"/>
      <c r="L423" s="154"/>
      <c r="M423" s="155"/>
      <c r="N423" s="144"/>
      <c r="O423" s="144"/>
      <c r="P423" s="144"/>
      <c r="Q423" s="145"/>
      <c r="R423" s="145"/>
      <c r="S423" s="148"/>
      <c r="T423" s="147"/>
      <c r="U423" s="144"/>
      <c r="V423" s="144"/>
    </row>
    <row r="424" spans="1:22" ht="33.75" customHeight="1" x14ac:dyDescent="0.15">
      <c r="A424" s="144"/>
      <c r="B424" s="144"/>
      <c r="C424" s="145"/>
      <c r="D424" s="145"/>
      <c r="E424" s="148"/>
      <c r="F424" s="147"/>
      <c r="G424" s="144"/>
      <c r="H424" s="144"/>
      <c r="I424" s="144"/>
      <c r="J424" s="145"/>
      <c r="K424" s="145"/>
      <c r="L424" s="154"/>
      <c r="M424" s="155"/>
      <c r="N424" s="144"/>
      <c r="O424" s="144"/>
      <c r="P424" s="144"/>
      <c r="Q424" s="145"/>
      <c r="R424" s="145"/>
      <c r="S424" s="148"/>
      <c r="T424" s="147"/>
      <c r="U424" s="144"/>
      <c r="V424" s="144"/>
    </row>
    <row r="425" spans="1:22" ht="33.75" customHeight="1" x14ac:dyDescent="0.15">
      <c r="A425" s="144"/>
      <c r="B425" s="144"/>
      <c r="C425" s="145"/>
      <c r="D425" s="145"/>
      <c r="E425" s="148"/>
      <c r="F425" s="147"/>
      <c r="G425" s="144"/>
      <c r="H425" s="144"/>
      <c r="I425" s="144"/>
      <c r="J425" s="145"/>
      <c r="K425" s="145"/>
      <c r="L425" s="154"/>
      <c r="M425" s="155"/>
      <c r="N425" s="144"/>
      <c r="O425" s="144"/>
      <c r="P425" s="144"/>
      <c r="Q425" s="145"/>
      <c r="R425" s="145"/>
      <c r="S425" s="148"/>
      <c r="T425" s="147"/>
      <c r="U425" s="144"/>
      <c r="V425" s="144"/>
    </row>
    <row r="426" spans="1:22" ht="33.75" customHeight="1" x14ac:dyDescent="0.15">
      <c r="A426" s="144"/>
      <c r="B426" s="144"/>
      <c r="C426" s="145"/>
      <c r="D426" s="145"/>
      <c r="E426" s="148"/>
      <c r="F426" s="147"/>
      <c r="G426" s="144"/>
      <c r="H426" s="144"/>
      <c r="I426" s="144"/>
      <c r="J426" s="145"/>
      <c r="K426" s="145"/>
      <c r="L426" s="154"/>
      <c r="M426" s="155"/>
      <c r="N426" s="144"/>
      <c r="O426" s="144"/>
      <c r="P426" s="144"/>
      <c r="Q426" s="145"/>
      <c r="R426" s="145"/>
      <c r="S426" s="148"/>
      <c r="T426" s="147"/>
      <c r="U426" s="144"/>
      <c r="V426" s="144"/>
    </row>
    <row r="427" spans="1:22" ht="33.75" customHeight="1" x14ac:dyDescent="0.15">
      <c r="A427" s="144"/>
      <c r="B427" s="144"/>
      <c r="C427" s="145"/>
      <c r="D427" s="145"/>
      <c r="E427" s="148"/>
      <c r="F427" s="147"/>
      <c r="G427" s="144"/>
      <c r="H427" s="144"/>
      <c r="I427" s="144"/>
      <c r="J427" s="145"/>
      <c r="K427" s="145"/>
      <c r="L427" s="154"/>
      <c r="M427" s="155"/>
      <c r="N427" s="144"/>
      <c r="O427" s="144"/>
      <c r="P427" s="144"/>
      <c r="Q427" s="145"/>
      <c r="R427" s="145"/>
      <c r="S427" s="148"/>
      <c r="T427" s="147"/>
      <c r="U427" s="144"/>
      <c r="V427" s="144"/>
    </row>
    <row r="428" spans="1:22" ht="33.75" customHeight="1" x14ac:dyDescent="0.15">
      <c r="A428" s="144"/>
      <c r="B428" s="144"/>
      <c r="C428" s="145"/>
      <c r="D428" s="145"/>
      <c r="E428" s="148"/>
      <c r="F428" s="147"/>
      <c r="G428" s="144"/>
      <c r="H428" s="144"/>
      <c r="I428" s="144"/>
      <c r="J428" s="145"/>
      <c r="K428" s="145"/>
      <c r="L428" s="154"/>
      <c r="M428" s="155"/>
      <c r="N428" s="144"/>
      <c r="O428" s="144"/>
      <c r="P428" s="144"/>
      <c r="Q428" s="145"/>
      <c r="R428" s="145"/>
      <c r="S428" s="148"/>
      <c r="T428" s="147"/>
      <c r="U428" s="144"/>
      <c r="V428" s="144"/>
    </row>
    <row r="429" spans="1:22" ht="33.75" customHeight="1" x14ac:dyDescent="0.15">
      <c r="A429" s="144"/>
      <c r="B429" s="144"/>
      <c r="C429" s="145"/>
      <c r="D429" s="145"/>
      <c r="E429" s="148"/>
      <c r="F429" s="147"/>
      <c r="G429" s="144"/>
      <c r="H429" s="144"/>
      <c r="I429" s="144"/>
      <c r="J429" s="145"/>
      <c r="K429" s="145"/>
      <c r="L429" s="154"/>
      <c r="M429" s="155"/>
      <c r="N429" s="144"/>
      <c r="O429" s="144"/>
      <c r="P429" s="144"/>
      <c r="Q429" s="145"/>
      <c r="R429" s="145"/>
      <c r="S429" s="148"/>
      <c r="T429" s="147"/>
      <c r="U429" s="144"/>
      <c r="V429" s="144"/>
    </row>
    <row r="430" spans="1:22" ht="33.75" customHeight="1" x14ac:dyDescent="0.15">
      <c r="A430" s="144"/>
      <c r="B430" s="144"/>
      <c r="C430" s="145"/>
      <c r="D430" s="145"/>
      <c r="E430" s="148"/>
      <c r="F430" s="147"/>
      <c r="G430" s="144"/>
      <c r="H430" s="144"/>
      <c r="I430" s="144"/>
      <c r="J430" s="145"/>
      <c r="K430" s="145"/>
      <c r="L430" s="154"/>
      <c r="M430" s="155"/>
      <c r="N430" s="144"/>
      <c r="O430" s="144"/>
      <c r="P430" s="144"/>
      <c r="Q430" s="145"/>
      <c r="R430" s="145"/>
      <c r="S430" s="148"/>
      <c r="T430" s="147"/>
      <c r="U430" s="144"/>
      <c r="V430" s="144"/>
    </row>
    <row r="431" spans="1:22" ht="33.75" customHeight="1" x14ac:dyDescent="0.15">
      <c r="A431" s="144"/>
      <c r="B431" s="144"/>
      <c r="C431" s="145"/>
      <c r="D431" s="145"/>
      <c r="E431" s="148"/>
      <c r="F431" s="147"/>
      <c r="G431" s="144"/>
      <c r="H431" s="144"/>
      <c r="I431" s="144"/>
      <c r="J431" s="145"/>
      <c r="K431" s="145"/>
      <c r="L431" s="154"/>
      <c r="M431" s="155"/>
      <c r="N431" s="144"/>
      <c r="O431" s="144"/>
      <c r="P431" s="144"/>
      <c r="Q431" s="145"/>
      <c r="R431" s="145"/>
      <c r="S431" s="148"/>
      <c r="T431" s="147"/>
      <c r="U431" s="144"/>
      <c r="V431" s="144"/>
    </row>
    <row r="432" spans="1:22" ht="33.75" customHeight="1" x14ac:dyDescent="0.15">
      <c r="A432" s="144"/>
      <c r="B432" s="144"/>
      <c r="C432" s="145"/>
      <c r="D432" s="145"/>
      <c r="E432" s="148"/>
      <c r="F432" s="147"/>
      <c r="G432" s="144"/>
      <c r="H432" s="144"/>
      <c r="I432" s="144"/>
      <c r="J432" s="145"/>
      <c r="K432" s="145"/>
      <c r="L432" s="154"/>
      <c r="M432" s="155"/>
      <c r="N432" s="144"/>
      <c r="O432" s="144"/>
      <c r="P432" s="144"/>
      <c r="Q432" s="145"/>
      <c r="R432" s="145"/>
      <c r="S432" s="148"/>
      <c r="T432" s="147"/>
      <c r="U432" s="144"/>
      <c r="V432" s="144"/>
    </row>
    <row r="433" spans="1:22" ht="33.75" customHeight="1" x14ac:dyDescent="0.15">
      <c r="A433" s="144"/>
      <c r="B433" s="144"/>
      <c r="C433" s="145"/>
      <c r="D433" s="145"/>
      <c r="E433" s="148"/>
      <c r="F433" s="147"/>
      <c r="G433" s="144"/>
      <c r="H433" s="144"/>
      <c r="I433" s="144"/>
      <c r="J433" s="145"/>
      <c r="K433" s="145"/>
      <c r="L433" s="154"/>
      <c r="M433" s="155"/>
      <c r="N433" s="144"/>
      <c r="O433" s="144"/>
      <c r="P433" s="144"/>
      <c r="Q433" s="145"/>
      <c r="R433" s="145"/>
      <c r="S433" s="148"/>
      <c r="T433" s="147"/>
      <c r="U433" s="144"/>
      <c r="V433" s="144"/>
    </row>
    <row r="434" spans="1:22" ht="33.75" customHeight="1" x14ac:dyDescent="0.15">
      <c r="A434" s="144"/>
      <c r="B434" s="144"/>
      <c r="C434" s="145"/>
      <c r="D434" s="145"/>
      <c r="E434" s="148"/>
      <c r="F434" s="147"/>
      <c r="G434" s="144"/>
      <c r="H434" s="144"/>
      <c r="I434" s="144"/>
      <c r="J434" s="145"/>
      <c r="K434" s="145"/>
      <c r="L434" s="154"/>
      <c r="M434" s="155"/>
      <c r="N434" s="144"/>
      <c r="O434" s="144"/>
      <c r="P434" s="144"/>
      <c r="Q434" s="145"/>
      <c r="R434" s="145"/>
      <c r="S434" s="148"/>
      <c r="T434" s="147"/>
      <c r="U434" s="144"/>
      <c r="V434" s="144"/>
    </row>
    <row r="435" spans="1:22" ht="33.75" customHeight="1" x14ac:dyDescent="0.15">
      <c r="A435" s="144"/>
      <c r="B435" s="144"/>
      <c r="C435" s="145"/>
      <c r="D435" s="145"/>
      <c r="E435" s="148"/>
      <c r="F435" s="147"/>
      <c r="G435" s="144"/>
      <c r="H435" s="144"/>
      <c r="I435" s="144"/>
      <c r="J435" s="145"/>
      <c r="K435" s="145"/>
      <c r="L435" s="154"/>
      <c r="M435" s="155"/>
      <c r="N435" s="144"/>
      <c r="O435" s="144"/>
      <c r="P435" s="144"/>
      <c r="Q435" s="145"/>
      <c r="R435" s="145"/>
      <c r="S435" s="148"/>
      <c r="T435" s="147"/>
      <c r="U435" s="144"/>
      <c r="V435" s="144"/>
    </row>
    <row r="436" spans="1:22" ht="33.75" customHeight="1" x14ac:dyDescent="0.15">
      <c r="A436" s="144"/>
      <c r="B436" s="144"/>
      <c r="C436" s="145"/>
      <c r="D436" s="145"/>
      <c r="E436" s="148"/>
      <c r="F436" s="147"/>
      <c r="G436" s="144"/>
      <c r="H436" s="144"/>
      <c r="I436" s="144"/>
      <c r="J436" s="145"/>
      <c r="K436" s="145"/>
      <c r="L436" s="154"/>
      <c r="M436" s="155"/>
      <c r="N436" s="144"/>
      <c r="O436" s="144"/>
      <c r="P436" s="144"/>
      <c r="Q436" s="145"/>
      <c r="R436" s="145"/>
      <c r="S436" s="148"/>
      <c r="T436" s="147"/>
      <c r="U436" s="144"/>
      <c r="V436" s="144"/>
    </row>
    <row r="437" spans="1:22" ht="33.75" customHeight="1" x14ac:dyDescent="0.15">
      <c r="A437" s="144"/>
      <c r="B437" s="144"/>
      <c r="C437" s="145"/>
      <c r="D437" s="145"/>
      <c r="E437" s="148"/>
      <c r="F437" s="147"/>
      <c r="G437" s="144"/>
      <c r="H437" s="144"/>
      <c r="I437" s="144"/>
      <c r="J437" s="145"/>
      <c r="K437" s="145"/>
      <c r="L437" s="154"/>
      <c r="M437" s="155"/>
      <c r="N437" s="144"/>
      <c r="O437" s="144"/>
      <c r="P437" s="144"/>
      <c r="Q437" s="145"/>
      <c r="R437" s="145"/>
      <c r="S437" s="148"/>
      <c r="T437" s="147"/>
      <c r="U437" s="144"/>
      <c r="V437" s="144"/>
    </row>
    <row r="438" spans="1:22" ht="33.75" customHeight="1" x14ac:dyDescent="0.15">
      <c r="A438" s="144"/>
      <c r="B438" s="144"/>
      <c r="C438" s="145"/>
      <c r="D438" s="145"/>
      <c r="E438" s="148"/>
      <c r="F438" s="147"/>
      <c r="G438" s="144"/>
      <c r="H438" s="144"/>
      <c r="I438" s="144"/>
      <c r="J438" s="145"/>
      <c r="K438" s="145"/>
      <c r="L438" s="154"/>
      <c r="M438" s="155"/>
      <c r="N438" s="144"/>
      <c r="O438" s="144"/>
      <c r="P438" s="144"/>
      <c r="Q438" s="145"/>
      <c r="R438" s="145"/>
      <c r="S438" s="148"/>
      <c r="T438" s="147"/>
      <c r="U438" s="144"/>
      <c r="V438" s="144"/>
    </row>
    <row r="439" spans="1:22" ht="33.75" customHeight="1" x14ac:dyDescent="0.15">
      <c r="A439" s="144"/>
      <c r="B439" s="144"/>
      <c r="C439" s="145"/>
      <c r="D439" s="145"/>
      <c r="E439" s="148"/>
      <c r="F439" s="147"/>
      <c r="G439" s="144"/>
      <c r="H439" s="144"/>
      <c r="I439" s="144"/>
      <c r="J439" s="145"/>
      <c r="K439" s="145"/>
      <c r="L439" s="154"/>
      <c r="M439" s="155"/>
      <c r="N439" s="144"/>
      <c r="O439" s="144"/>
      <c r="P439" s="144"/>
      <c r="Q439" s="145"/>
      <c r="R439" s="145"/>
      <c r="S439" s="148"/>
      <c r="T439" s="147"/>
      <c r="U439" s="144"/>
      <c r="V439" s="144"/>
    </row>
    <row r="440" spans="1:22" ht="33.75" customHeight="1" x14ac:dyDescent="0.15">
      <c r="A440" s="144"/>
      <c r="B440" s="144"/>
      <c r="C440" s="145"/>
      <c r="D440" s="145"/>
      <c r="E440" s="148"/>
      <c r="F440" s="147"/>
      <c r="G440" s="144"/>
      <c r="H440" s="144"/>
      <c r="I440" s="144"/>
      <c r="J440" s="145"/>
      <c r="K440" s="145"/>
      <c r="L440" s="154"/>
      <c r="M440" s="155"/>
      <c r="N440" s="144"/>
      <c r="O440" s="144"/>
      <c r="P440" s="144"/>
      <c r="Q440" s="145"/>
      <c r="R440" s="145"/>
      <c r="S440" s="148"/>
      <c r="T440" s="147"/>
      <c r="U440" s="144"/>
      <c r="V440" s="144"/>
    </row>
    <row r="441" spans="1:22" ht="33.75" customHeight="1" x14ac:dyDescent="0.15">
      <c r="A441" s="144"/>
      <c r="B441" s="144"/>
      <c r="C441" s="145"/>
      <c r="D441" s="145"/>
      <c r="E441" s="148"/>
      <c r="F441" s="147"/>
      <c r="G441" s="144"/>
      <c r="H441" s="144"/>
      <c r="I441" s="144"/>
      <c r="J441" s="145"/>
      <c r="K441" s="145"/>
      <c r="L441" s="154"/>
      <c r="M441" s="155"/>
      <c r="N441" s="144"/>
      <c r="O441" s="144"/>
      <c r="P441" s="144"/>
      <c r="Q441" s="145"/>
      <c r="R441" s="145"/>
      <c r="S441" s="148"/>
      <c r="T441" s="147"/>
      <c r="U441" s="144"/>
      <c r="V441" s="144"/>
    </row>
    <row r="442" spans="1:22" ht="33.75" customHeight="1" x14ac:dyDescent="0.15">
      <c r="A442" s="144"/>
      <c r="B442" s="144"/>
      <c r="C442" s="145"/>
      <c r="D442" s="145"/>
      <c r="E442" s="148"/>
      <c r="F442" s="147"/>
      <c r="G442" s="144"/>
      <c r="H442" s="144"/>
      <c r="I442" s="144"/>
      <c r="J442" s="145"/>
      <c r="K442" s="145"/>
      <c r="L442" s="154"/>
      <c r="M442" s="155"/>
      <c r="N442" s="144"/>
      <c r="O442" s="144"/>
      <c r="P442" s="144"/>
      <c r="Q442" s="145"/>
      <c r="R442" s="145"/>
      <c r="S442" s="148"/>
      <c r="T442" s="147"/>
      <c r="U442" s="144"/>
      <c r="V442" s="144"/>
    </row>
    <row r="443" spans="1:22" ht="33.75" customHeight="1" x14ac:dyDescent="0.15">
      <c r="A443" s="144"/>
      <c r="B443" s="144"/>
      <c r="C443" s="145"/>
      <c r="D443" s="145"/>
      <c r="E443" s="148"/>
      <c r="F443" s="147"/>
      <c r="G443" s="144"/>
      <c r="H443" s="144"/>
      <c r="I443" s="144"/>
      <c r="J443" s="145"/>
      <c r="K443" s="145"/>
      <c r="L443" s="154"/>
      <c r="M443" s="155"/>
      <c r="N443" s="144"/>
      <c r="O443" s="144"/>
      <c r="P443" s="144"/>
      <c r="Q443" s="145"/>
      <c r="R443" s="145"/>
      <c r="S443" s="148"/>
      <c r="T443" s="147"/>
      <c r="U443" s="144"/>
      <c r="V443" s="144"/>
    </row>
    <row r="444" spans="1:22" ht="33.75" customHeight="1" x14ac:dyDescent="0.15">
      <c r="A444" s="144"/>
      <c r="B444" s="144"/>
      <c r="C444" s="145"/>
      <c r="D444" s="145"/>
      <c r="E444" s="148"/>
      <c r="F444" s="147"/>
      <c r="G444" s="144"/>
      <c r="H444" s="144"/>
      <c r="I444" s="144"/>
      <c r="J444" s="145"/>
      <c r="K444" s="145"/>
      <c r="L444" s="154"/>
      <c r="M444" s="155"/>
      <c r="N444" s="144"/>
      <c r="O444" s="144"/>
      <c r="P444" s="144"/>
      <c r="Q444" s="145"/>
      <c r="R444" s="145"/>
      <c r="S444" s="148"/>
      <c r="T444" s="147"/>
      <c r="U444" s="144"/>
      <c r="V444" s="144"/>
    </row>
    <row r="445" spans="1:22" ht="33.75" customHeight="1" x14ac:dyDescent="0.15">
      <c r="A445" s="144"/>
      <c r="B445" s="144"/>
      <c r="C445" s="145"/>
      <c r="D445" s="145"/>
      <c r="E445" s="148"/>
      <c r="F445" s="147"/>
      <c r="G445" s="144"/>
      <c r="H445" s="144"/>
      <c r="I445" s="144"/>
      <c r="J445" s="145"/>
      <c r="K445" s="145"/>
      <c r="L445" s="154"/>
      <c r="M445" s="155"/>
      <c r="N445" s="144"/>
      <c r="O445" s="144"/>
      <c r="P445" s="144"/>
      <c r="Q445" s="145"/>
      <c r="R445" s="145"/>
      <c r="S445" s="148"/>
      <c r="T445" s="147"/>
      <c r="U445" s="144"/>
      <c r="V445" s="144"/>
    </row>
    <row r="446" spans="1:22" ht="33.75" customHeight="1" x14ac:dyDescent="0.15">
      <c r="A446" s="144"/>
      <c r="B446" s="144"/>
      <c r="C446" s="145"/>
      <c r="D446" s="145"/>
      <c r="E446" s="148"/>
      <c r="F446" s="147"/>
      <c r="G446" s="144"/>
      <c r="H446" s="144"/>
      <c r="I446" s="144"/>
      <c r="J446" s="145"/>
      <c r="K446" s="145"/>
      <c r="L446" s="154"/>
      <c r="M446" s="155"/>
      <c r="N446" s="144"/>
      <c r="O446" s="144"/>
      <c r="P446" s="144"/>
      <c r="Q446" s="145"/>
      <c r="R446" s="145"/>
      <c r="S446" s="148"/>
      <c r="T446" s="147"/>
      <c r="U446" s="144"/>
      <c r="V446" s="144"/>
    </row>
    <row r="447" spans="1:22" ht="33.75" customHeight="1" x14ac:dyDescent="0.15">
      <c r="A447" s="144"/>
      <c r="B447" s="144"/>
      <c r="C447" s="145"/>
      <c r="D447" s="145"/>
      <c r="E447" s="148"/>
      <c r="F447" s="147"/>
      <c r="G447" s="144"/>
      <c r="H447" s="144"/>
      <c r="I447" s="144"/>
      <c r="J447" s="145"/>
      <c r="K447" s="145"/>
      <c r="L447" s="154"/>
      <c r="M447" s="155"/>
      <c r="N447" s="144"/>
      <c r="O447" s="144"/>
      <c r="P447" s="144"/>
      <c r="Q447" s="145"/>
      <c r="R447" s="145"/>
      <c r="S447" s="148"/>
      <c r="T447" s="147"/>
      <c r="U447" s="144"/>
      <c r="V447" s="144"/>
    </row>
    <row r="448" spans="1:22" ht="33.75" customHeight="1" x14ac:dyDescent="0.15">
      <c r="A448" s="144"/>
      <c r="B448" s="144"/>
      <c r="C448" s="145"/>
      <c r="D448" s="145"/>
      <c r="E448" s="148"/>
      <c r="F448" s="147"/>
      <c r="G448" s="144"/>
      <c r="H448" s="144"/>
      <c r="I448" s="144"/>
      <c r="J448" s="145"/>
      <c r="K448" s="145"/>
      <c r="L448" s="154"/>
      <c r="M448" s="155"/>
      <c r="N448" s="144"/>
      <c r="O448" s="144"/>
      <c r="P448" s="144"/>
      <c r="Q448" s="145"/>
      <c r="R448" s="145"/>
      <c r="S448" s="148"/>
      <c r="T448" s="147"/>
      <c r="U448" s="144"/>
      <c r="V448" s="144"/>
    </row>
    <row r="449" spans="1:22" ht="33.75" customHeight="1" x14ac:dyDescent="0.15">
      <c r="A449" s="144"/>
      <c r="B449" s="144"/>
      <c r="C449" s="145"/>
      <c r="D449" s="145"/>
      <c r="E449" s="148"/>
      <c r="F449" s="147"/>
      <c r="G449" s="144"/>
      <c r="H449" s="144"/>
      <c r="I449" s="144"/>
      <c r="J449" s="145"/>
      <c r="K449" s="145"/>
      <c r="L449" s="154"/>
      <c r="M449" s="155"/>
      <c r="N449" s="144"/>
      <c r="O449" s="144"/>
      <c r="P449" s="144"/>
      <c r="Q449" s="145"/>
      <c r="R449" s="145"/>
      <c r="S449" s="148"/>
      <c r="T449" s="147"/>
      <c r="U449" s="144"/>
      <c r="V449" s="144"/>
    </row>
    <row r="450" spans="1:22" ht="33.75" customHeight="1" x14ac:dyDescent="0.15">
      <c r="A450" s="144"/>
      <c r="B450" s="144"/>
      <c r="C450" s="145"/>
      <c r="D450" s="145"/>
      <c r="E450" s="148"/>
      <c r="F450" s="147"/>
      <c r="G450" s="144"/>
      <c r="H450" s="144"/>
      <c r="I450" s="144"/>
      <c r="J450" s="145"/>
      <c r="K450" s="145"/>
      <c r="L450" s="154"/>
      <c r="M450" s="155"/>
      <c r="N450" s="144"/>
      <c r="O450" s="144"/>
      <c r="P450" s="144"/>
      <c r="Q450" s="145"/>
      <c r="R450" s="145"/>
      <c r="S450" s="148"/>
      <c r="T450" s="147"/>
      <c r="U450" s="144"/>
      <c r="V450" s="144"/>
    </row>
    <row r="451" spans="1:22" ht="33.75" customHeight="1" x14ac:dyDescent="0.15">
      <c r="A451" s="144"/>
      <c r="B451" s="144"/>
      <c r="C451" s="145"/>
      <c r="D451" s="145"/>
      <c r="E451" s="148"/>
      <c r="F451" s="147"/>
      <c r="G451" s="144"/>
      <c r="H451" s="144"/>
      <c r="I451" s="144"/>
      <c r="J451" s="145"/>
      <c r="K451" s="145"/>
      <c r="L451" s="154"/>
      <c r="M451" s="155"/>
      <c r="N451" s="144"/>
      <c r="O451" s="144"/>
      <c r="P451" s="144"/>
      <c r="Q451" s="145"/>
      <c r="R451" s="145"/>
      <c r="S451" s="148"/>
      <c r="T451" s="147"/>
      <c r="U451" s="144"/>
      <c r="V451" s="144"/>
    </row>
    <row r="452" spans="1:22" ht="33.75" customHeight="1" x14ac:dyDescent="0.15">
      <c r="A452" s="144"/>
      <c r="B452" s="144"/>
      <c r="C452" s="145"/>
      <c r="D452" s="145"/>
      <c r="E452" s="148"/>
      <c r="F452" s="147"/>
      <c r="G452" s="144"/>
      <c r="H452" s="144"/>
      <c r="I452" s="144"/>
      <c r="J452" s="145"/>
      <c r="K452" s="145"/>
      <c r="L452" s="154"/>
      <c r="M452" s="155"/>
      <c r="N452" s="144"/>
      <c r="O452" s="144"/>
      <c r="P452" s="144"/>
      <c r="Q452" s="145"/>
      <c r="R452" s="145"/>
      <c r="S452" s="148"/>
      <c r="T452" s="147"/>
      <c r="U452" s="144"/>
      <c r="V452" s="144"/>
    </row>
    <row r="453" spans="1:22" ht="33.75" customHeight="1" x14ac:dyDescent="0.15">
      <c r="A453" s="144"/>
      <c r="B453" s="144"/>
      <c r="C453" s="145"/>
      <c r="D453" s="145"/>
      <c r="E453" s="148"/>
      <c r="F453" s="147"/>
      <c r="G453" s="144"/>
      <c r="H453" s="144"/>
      <c r="I453" s="144"/>
      <c r="J453" s="145"/>
      <c r="K453" s="145"/>
      <c r="L453" s="154"/>
      <c r="M453" s="155"/>
      <c r="N453" s="144"/>
      <c r="O453" s="144"/>
      <c r="P453" s="144"/>
      <c r="Q453" s="145"/>
      <c r="R453" s="145"/>
      <c r="S453" s="148"/>
      <c r="T453" s="147"/>
      <c r="U453" s="144"/>
      <c r="V453" s="144"/>
    </row>
    <row r="454" spans="1:22" ht="33.75" customHeight="1" x14ac:dyDescent="0.15">
      <c r="A454" s="144"/>
      <c r="B454" s="144"/>
      <c r="C454" s="145"/>
      <c r="D454" s="145"/>
      <c r="E454" s="148"/>
      <c r="F454" s="147"/>
      <c r="G454" s="144"/>
      <c r="H454" s="144"/>
      <c r="I454" s="144"/>
      <c r="J454" s="145"/>
      <c r="K454" s="145"/>
      <c r="L454" s="154"/>
      <c r="M454" s="155"/>
      <c r="N454" s="144"/>
      <c r="O454" s="144"/>
      <c r="P454" s="144"/>
      <c r="Q454" s="145"/>
      <c r="R454" s="145"/>
      <c r="S454" s="148"/>
      <c r="T454" s="147"/>
      <c r="U454" s="144"/>
      <c r="V454" s="144"/>
    </row>
    <row r="455" spans="1:22" ht="33.75" customHeight="1" x14ac:dyDescent="0.15">
      <c r="A455" s="144"/>
      <c r="B455" s="144"/>
      <c r="C455" s="145"/>
      <c r="D455" s="145"/>
      <c r="E455" s="148"/>
      <c r="F455" s="147"/>
      <c r="G455" s="144"/>
      <c r="H455" s="144"/>
      <c r="I455" s="144"/>
      <c r="J455" s="145"/>
      <c r="K455" s="145"/>
      <c r="L455" s="154"/>
      <c r="M455" s="155"/>
      <c r="N455" s="144"/>
      <c r="O455" s="144"/>
      <c r="P455" s="144"/>
      <c r="Q455" s="145"/>
      <c r="R455" s="145"/>
      <c r="S455" s="148"/>
      <c r="T455" s="147"/>
      <c r="U455" s="144"/>
      <c r="V455" s="144"/>
    </row>
    <row r="456" spans="1:22" ht="33.75" customHeight="1" x14ac:dyDescent="0.15">
      <c r="A456" s="144"/>
      <c r="B456" s="144"/>
      <c r="C456" s="145"/>
      <c r="D456" s="145"/>
      <c r="E456" s="148"/>
      <c r="F456" s="147"/>
      <c r="G456" s="144"/>
      <c r="H456" s="144"/>
      <c r="I456" s="144"/>
      <c r="J456" s="145"/>
      <c r="K456" s="145"/>
      <c r="L456" s="154"/>
      <c r="M456" s="155"/>
      <c r="N456" s="144"/>
      <c r="O456" s="144"/>
      <c r="P456" s="144"/>
      <c r="Q456" s="145"/>
      <c r="R456" s="145"/>
      <c r="S456" s="148"/>
      <c r="T456" s="147"/>
      <c r="U456" s="144"/>
      <c r="V456" s="144"/>
    </row>
    <row r="457" spans="1:22" ht="33.75" customHeight="1" x14ac:dyDescent="0.15">
      <c r="A457" s="144"/>
      <c r="B457" s="144"/>
      <c r="C457" s="145"/>
      <c r="D457" s="145"/>
      <c r="E457" s="148"/>
      <c r="F457" s="147"/>
      <c r="G457" s="144"/>
      <c r="H457" s="144"/>
      <c r="I457" s="144"/>
      <c r="J457" s="145"/>
      <c r="K457" s="145"/>
      <c r="L457" s="154"/>
      <c r="M457" s="155"/>
      <c r="N457" s="144"/>
      <c r="O457" s="144"/>
      <c r="P457" s="144"/>
      <c r="Q457" s="145"/>
      <c r="R457" s="145"/>
      <c r="S457" s="148"/>
      <c r="T457" s="147"/>
      <c r="U457" s="144"/>
      <c r="V457" s="144"/>
    </row>
    <row r="458" spans="1:22" ht="33.75" customHeight="1" x14ac:dyDescent="0.15">
      <c r="A458" s="144"/>
      <c r="B458" s="144"/>
      <c r="C458" s="145"/>
      <c r="D458" s="145"/>
      <c r="E458" s="148"/>
      <c r="F458" s="147"/>
      <c r="G458" s="144"/>
      <c r="H458" s="144"/>
      <c r="I458" s="144"/>
      <c r="J458" s="145"/>
      <c r="K458" s="145"/>
      <c r="L458" s="154"/>
      <c r="M458" s="155"/>
      <c r="N458" s="144"/>
      <c r="O458" s="144"/>
      <c r="P458" s="144"/>
      <c r="Q458" s="145"/>
      <c r="R458" s="145"/>
      <c r="S458" s="148"/>
      <c r="T458" s="147"/>
      <c r="U458" s="144"/>
      <c r="V458" s="144"/>
    </row>
    <row r="459" spans="1:22" ht="33.75" customHeight="1" x14ac:dyDescent="0.15">
      <c r="A459" s="144"/>
      <c r="B459" s="144"/>
      <c r="C459" s="145"/>
      <c r="D459" s="145"/>
      <c r="E459" s="148"/>
      <c r="F459" s="147"/>
      <c r="G459" s="144"/>
      <c r="H459" s="144"/>
      <c r="I459" s="144"/>
      <c r="J459" s="145"/>
      <c r="K459" s="145"/>
      <c r="L459" s="154"/>
      <c r="M459" s="155"/>
      <c r="N459" s="144"/>
      <c r="O459" s="144"/>
      <c r="P459" s="144"/>
      <c r="Q459" s="145"/>
      <c r="R459" s="145"/>
      <c r="S459" s="148"/>
      <c r="T459" s="147"/>
      <c r="U459" s="144"/>
      <c r="V459" s="144"/>
    </row>
    <row r="460" spans="1:22" ht="33.75" customHeight="1" x14ac:dyDescent="0.15">
      <c r="A460" s="144"/>
      <c r="B460" s="144"/>
      <c r="C460" s="145"/>
      <c r="D460" s="145"/>
      <c r="E460" s="148"/>
      <c r="F460" s="147"/>
      <c r="G460" s="144"/>
      <c r="H460" s="144"/>
      <c r="I460" s="144"/>
      <c r="J460" s="145"/>
      <c r="K460" s="145"/>
      <c r="L460" s="154"/>
      <c r="M460" s="155"/>
      <c r="N460" s="144"/>
      <c r="O460" s="144"/>
      <c r="P460" s="144"/>
      <c r="Q460" s="145"/>
      <c r="R460" s="145"/>
      <c r="S460" s="148"/>
      <c r="T460" s="147"/>
      <c r="U460" s="144"/>
      <c r="V460" s="144"/>
    </row>
    <row r="461" spans="1:22" ht="33.75" customHeight="1" x14ac:dyDescent="0.15">
      <c r="A461" s="144"/>
      <c r="B461" s="144"/>
      <c r="C461" s="145"/>
      <c r="D461" s="145"/>
      <c r="E461" s="148"/>
      <c r="F461" s="147"/>
      <c r="G461" s="144"/>
      <c r="H461" s="144"/>
      <c r="I461" s="144"/>
      <c r="J461" s="145"/>
      <c r="K461" s="145"/>
      <c r="L461" s="154"/>
      <c r="M461" s="155"/>
      <c r="N461" s="144"/>
      <c r="O461" s="144"/>
      <c r="P461" s="144"/>
      <c r="Q461" s="145"/>
      <c r="R461" s="145"/>
      <c r="S461" s="148"/>
      <c r="T461" s="147"/>
      <c r="U461" s="144"/>
      <c r="V461" s="144"/>
    </row>
    <row r="462" spans="1:22" ht="33.75" customHeight="1" x14ac:dyDescent="0.15">
      <c r="A462" s="144"/>
      <c r="B462" s="144"/>
      <c r="C462" s="145"/>
      <c r="D462" s="145"/>
      <c r="E462" s="148"/>
      <c r="F462" s="147"/>
      <c r="G462" s="144"/>
      <c r="H462" s="144"/>
      <c r="I462" s="144"/>
      <c r="J462" s="145"/>
      <c r="K462" s="145"/>
      <c r="L462" s="154"/>
      <c r="M462" s="155"/>
      <c r="N462" s="144"/>
      <c r="O462" s="144"/>
      <c r="P462" s="144"/>
      <c r="Q462" s="145"/>
      <c r="R462" s="145"/>
      <c r="S462" s="148"/>
      <c r="T462" s="147"/>
      <c r="U462" s="144"/>
      <c r="V462" s="144"/>
    </row>
    <row r="463" spans="1:22" ht="33.75" customHeight="1" x14ac:dyDescent="0.15">
      <c r="A463" s="144"/>
      <c r="B463" s="144"/>
      <c r="C463" s="145"/>
      <c r="D463" s="145"/>
      <c r="E463" s="148"/>
      <c r="F463" s="147"/>
      <c r="G463" s="144"/>
      <c r="H463" s="144"/>
      <c r="I463" s="144"/>
      <c r="J463" s="145"/>
      <c r="K463" s="145"/>
      <c r="L463" s="154"/>
      <c r="M463" s="155"/>
      <c r="N463" s="144"/>
      <c r="O463" s="144"/>
      <c r="P463" s="144"/>
      <c r="Q463" s="145"/>
      <c r="R463" s="145"/>
      <c r="S463" s="148"/>
      <c r="T463" s="147"/>
      <c r="U463" s="144"/>
      <c r="V463" s="144"/>
    </row>
    <row r="464" spans="1:22" ht="33.75" customHeight="1" x14ac:dyDescent="0.15">
      <c r="A464" s="144"/>
      <c r="B464" s="144"/>
      <c r="C464" s="145"/>
      <c r="D464" s="145"/>
      <c r="E464" s="148"/>
      <c r="F464" s="147"/>
      <c r="G464" s="144"/>
      <c r="H464" s="144"/>
      <c r="I464" s="144"/>
      <c r="J464" s="145"/>
      <c r="K464" s="145"/>
      <c r="L464" s="154"/>
      <c r="M464" s="155"/>
      <c r="N464" s="144"/>
      <c r="O464" s="144"/>
      <c r="P464" s="144"/>
      <c r="Q464" s="145"/>
      <c r="R464" s="145"/>
      <c r="S464" s="148"/>
      <c r="T464" s="147"/>
      <c r="U464" s="144"/>
      <c r="V464" s="144"/>
    </row>
    <row r="465" spans="1:22" ht="33.75" customHeight="1" x14ac:dyDescent="0.15">
      <c r="A465" s="144"/>
      <c r="B465" s="144"/>
      <c r="C465" s="145"/>
      <c r="D465" s="145"/>
      <c r="E465" s="148"/>
      <c r="F465" s="147"/>
      <c r="G465" s="144"/>
      <c r="H465" s="144"/>
      <c r="I465" s="144"/>
      <c r="J465" s="145"/>
      <c r="K465" s="145"/>
      <c r="L465" s="154"/>
      <c r="M465" s="155"/>
      <c r="N465" s="144"/>
      <c r="O465" s="144"/>
      <c r="P465" s="144"/>
      <c r="Q465" s="145"/>
      <c r="R465" s="145"/>
      <c r="S465" s="148"/>
      <c r="T465" s="147"/>
      <c r="U465" s="144"/>
      <c r="V465" s="144"/>
    </row>
    <row r="466" spans="1:22" ht="33.75" customHeight="1" x14ac:dyDescent="0.15">
      <c r="A466" s="144"/>
      <c r="B466" s="144"/>
      <c r="C466" s="145"/>
      <c r="D466" s="145"/>
      <c r="E466" s="148"/>
      <c r="F466" s="147"/>
      <c r="G466" s="144"/>
      <c r="H466" s="144"/>
      <c r="I466" s="144"/>
      <c r="J466" s="145"/>
      <c r="K466" s="145"/>
      <c r="L466" s="154"/>
      <c r="M466" s="155"/>
      <c r="N466" s="144"/>
      <c r="O466" s="144"/>
      <c r="P466" s="144"/>
      <c r="Q466" s="145"/>
      <c r="R466" s="145"/>
      <c r="S466" s="148"/>
      <c r="T466" s="147"/>
      <c r="U466" s="144"/>
      <c r="V466" s="144"/>
    </row>
    <row r="467" spans="1:22" ht="33.75" customHeight="1" x14ac:dyDescent="0.15">
      <c r="A467" s="144"/>
      <c r="B467" s="144"/>
      <c r="C467" s="145"/>
      <c r="D467" s="145"/>
      <c r="E467" s="148"/>
      <c r="F467" s="147"/>
      <c r="G467" s="144"/>
      <c r="H467" s="144"/>
      <c r="I467" s="144"/>
      <c r="J467" s="145"/>
      <c r="K467" s="145"/>
      <c r="L467" s="154"/>
      <c r="M467" s="155"/>
      <c r="N467" s="144"/>
      <c r="O467" s="144"/>
      <c r="P467" s="144"/>
      <c r="Q467" s="145"/>
      <c r="R467" s="145"/>
      <c r="S467" s="148"/>
      <c r="T467" s="147"/>
      <c r="U467" s="144"/>
      <c r="V467" s="144"/>
    </row>
    <row r="468" spans="1:22" ht="33.75" customHeight="1" x14ac:dyDescent="0.15">
      <c r="A468" s="144"/>
      <c r="B468" s="144"/>
      <c r="C468" s="145"/>
      <c r="D468" s="145"/>
      <c r="E468" s="148"/>
      <c r="F468" s="147"/>
      <c r="G468" s="144"/>
      <c r="H468" s="144"/>
      <c r="I468" s="144"/>
      <c r="J468" s="145"/>
      <c r="K468" s="145"/>
      <c r="L468" s="154"/>
      <c r="M468" s="155"/>
      <c r="N468" s="144"/>
      <c r="O468" s="144"/>
      <c r="P468" s="144"/>
      <c r="Q468" s="145"/>
      <c r="R468" s="145"/>
      <c r="S468" s="148"/>
      <c r="T468" s="147"/>
      <c r="U468" s="144"/>
      <c r="V468" s="144"/>
    </row>
    <row r="469" spans="1:22" ht="33.75" customHeight="1" x14ac:dyDescent="0.15">
      <c r="A469" s="144"/>
      <c r="B469" s="144"/>
      <c r="C469" s="145"/>
      <c r="D469" s="145"/>
      <c r="E469" s="148"/>
      <c r="F469" s="147"/>
      <c r="G469" s="144"/>
      <c r="H469" s="144"/>
      <c r="I469" s="144"/>
      <c r="J469" s="145"/>
      <c r="K469" s="145"/>
      <c r="L469" s="154"/>
      <c r="M469" s="155"/>
      <c r="N469" s="144"/>
      <c r="O469" s="144"/>
      <c r="P469" s="144"/>
      <c r="Q469" s="145"/>
      <c r="R469" s="145"/>
      <c r="S469" s="148"/>
      <c r="T469" s="147"/>
      <c r="U469" s="144"/>
      <c r="V469" s="144"/>
    </row>
    <row r="470" spans="1:22" ht="33.75" customHeight="1" x14ac:dyDescent="0.15">
      <c r="A470" s="144"/>
      <c r="B470" s="144"/>
      <c r="C470" s="145"/>
      <c r="D470" s="145"/>
      <c r="E470" s="148"/>
      <c r="F470" s="147"/>
      <c r="G470" s="144"/>
      <c r="H470" s="144"/>
      <c r="I470" s="144"/>
      <c r="J470" s="145"/>
      <c r="K470" s="145"/>
      <c r="L470" s="154"/>
      <c r="M470" s="155"/>
      <c r="N470" s="144"/>
      <c r="O470" s="144"/>
      <c r="P470" s="144"/>
      <c r="Q470" s="145"/>
      <c r="R470" s="145"/>
      <c r="S470" s="148"/>
      <c r="T470" s="147"/>
      <c r="U470" s="144"/>
      <c r="V470" s="144"/>
    </row>
    <row r="471" spans="1:22" ht="33.75" customHeight="1" x14ac:dyDescent="0.15">
      <c r="A471" s="144"/>
      <c r="B471" s="144"/>
      <c r="C471" s="145"/>
      <c r="D471" s="145"/>
      <c r="E471" s="148"/>
      <c r="F471" s="147"/>
      <c r="G471" s="144"/>
      <c r="H471" s="144"/>
      <c r="I471" s="144"/>
      <c r="J471" s="145"/>
      <c r="K471" s="145"/>
      <c r="L471" s="154"/>
      <c r="M471" s="155"/>
      <c r="N471" s="144"/>
      <c r="O471" s="144"/>
      <c r="P471" s="144"/>
      <c r="Q471" s="145"/>
      <c r="R471" s="145"/>
      <c r="S471" s="148"/>
      <c r="T471" s="147"/>
      <c r="U471" s="144"/>
      <c r="V471" s="144"/>
    </row>
    <row r="472" spans="1:22" ht="33.75" customHeight="1" x14ac:dyDescent="0.15">
      <c r="A472" s="144"/>
      <c r="B472" s="144"/>
      <c r="C472" s="145"/>
      <c r="D472" s="145"/>
      <c r="E472" s="148"/>
      <c r="F472" s="147"/>
      <c r="G472" s="144"/>
      <c r="H472" s="144"/>
      <c r="I472" s="144"/>
      <c r="J472" s="145"/>
      <c r="K472" s="145"/>
      <c r="L472" s="154"/>
      <c r="M472" s="155"/>
      <c r="N472" s="144"/>
      <c r="O472" s="144"/>
      <c r="P472" s="144"/>
      <c r="Q472" s="145"/>
      <c r="R472" s="145"/>
      <c r="S472" s="148"/>
      <c r="T472" s="147"/>
      <c r="U472" s="144"/>
      <c r="V472" s="144"/>
    </row>
    <row r="473" spans="1:22" ht="33.75" customHeight="1" x14ac:dyDescent="0.15">
      <c r="A473" s="144"/>
      <c r="B473" s="144"/>
      <c r="C473" s="145"/>
      <c r="D473" s="145"/>
      <c r="E473" s="148"/>
      <c r="F473" s="147"/>
      <c r="G473" s="144"/>
      <c r="H473" s="144"/>
      <c r="I473" s="144"/>
      <c r="J473" s="145"/>
      <c r="K473" s="145"/>
      <c r="L473" s="154"/>
      <c r="M473" s="155"/>
      <c r="N473" s="144"/>
      <c r="O473" s="144"/>
      <c r="P473" s="144"/>
      <c r="Q473" s="145"/>
      <c r="R473" s="145"/>
      <c r="S473" s="148"/>
      <c r="T473" s="147"/>
      <c r="U473" s="144"/>
      <c r="V473" s="144"/>
    </row>
    <row r="474" spans="1:22" ht="33.75" customHeight="1" x14ac:dyDescent="0.15">
      <c r="A474" s="144"/>
      <c r="B474" s="144"/>
      <c r="C474" s="145"/>
      <c r="D474" s="145"/>
      <c r="E474" s="148"/>
      <c r="F474" s="147"/>
      <c r="G474" s="144"/>
      <c r="H474" s="144"/>
      <c r="I474" s="144"/>
      <c r="J474" s="145"/>
      <c r="K474" s="145"/>
      <c r="L474" s="154"/>
      <c r="M474" s="155"/>
      <c r="N474" s="144"/>
      <c r="O474" s="144"/>
      <c r="P474" s="144"/>
      <c r="Q474" s="145"/>
      <c r="R474" s="145"/>
      <c r="S474" s="148"/>
      <c r="T474" s="147"/>
      <c r="U474" s="144"/>
      <c r="V474" s="144"/>
    </row>
    <row r="475" spans="1:22" ht="33.75" customHeight="1" x14ac:dyDescent="0.15">
      <c r="A475" s="144"/>
      <c r="B475" s="144"/>
      <c r="C475" s="145"/>
      <c r="D475" s="145"/>
      <c r="E475" s="148"/>
      <c r="F475" s="147"/>
      <c r="G475" s="144"/>
      <c r="H475" s="144"/>
      <c r="I475" s="144"/>
      <c r="J475" s="145"/>
      <c r="K475" s="145"/>
      <c r="L475" s="154"/>
      <c r="M475" s="155"/>
      <c r="N475" s="144"/>
      <c r="O475" s="144"/>
      <c r="P475" s="144"/>
      <c r="Q475" s="145"/>
      <c r="R475" s="145"/>
      <c r="S475" s="148"/>
      <c r="T475" s="147"/>
      <c r="U475" s="144"/>
      <c r="V475" s="144"/>
    </row>
    <row r="476" spans="1:22" ht="33.75" customHeight="1" x14ac:dyDescent="0.15">
      <c r="A476" s="144"/>
      <c r="B476" s="144"/>
      <c r="C476" s="145"/>
      <c r="D476" s="145"/>
      <c r="E476" s="148"/>
      <c r="F476" s="147"/>
      <c r="G476" s="144"/>
      <c r="H476" s="144"/>
      <c r="I476" s="144"/>
      <c r="J476" s="145"/>
      <c r="K476" s="145"/>
      <c r="L476" s="154"/>
      <c r="M476" s="155"/>
      <c r="N476" s="144"/>
      <c r="O476" s="144"/>
      <c r="P476" s="144"/>
      <c r="Q476" s="145"/>
      <c r="R476" s="145"/>
      <c r="S476" s="148"/>
      <c r="T476" s="147"/>
      <c r="U476" s="144"/>
      <c r="V476" s="144"/>
    </row>
    <row r="477" spans="1:22" ht="33.75" customHeight="1" x14ac:dyDescent="0.15">
      <c r="A477" s="144"/>
      <c r="B477" s="144"/>
      <c r="C477" s="145"/>
      <c r="D477" s="145"/>
      <c r="E477" s="148"/>
      <c r="F477" s="147"/>
      <c r="G477" s="144"/>
      <c r="H477" s="144"/>
      <c r="I477" s="144"/>
      <c r="J477" s="145"/>
      <c r="K477" s="145"/>
      <c r="L477" s="154"/>
      <c r="M477" s="155"/>
      <c r="N477" s="144"/>
      <c r="O477" s="144"/>
      <c r="P477" s="144"/>
      <c r="Q477" s="145"/>
      <c r="R477" s="145"/>
      <c r="S477" s="148"/>
      <c r="T477" s="147"/>
      <c r="U477" s="144"/>
      <c r="V477" s="144"/>
    </row>
    <row r="478" spans="1:22" ht="33.75" customHeight="1" x14ac:dyDescent="0.15">
      <c r="A478" s="144"/>
      <c r="B478" s="144"/>
      <c r="C478" s="145"/>
      <c r="D478" s="145"/>
      <c r="E478" s="148"/>
      <c r="F478" s="147"/>
      <c r="G478" s="144"/>
      <c r="H478" s="144"/>
      <c r="I478" s="144"/>
      <c r="J478" s="145"/>
      <c r="K478" s="145"/>
      <c r="L478" s="154"/>
      <c r="M478" s="155"/>
      <c r="N478" s="144"/>
      <c r="O478" s="144"/>
      <c r="P478" s="144"/>
      <c r="Q478" s="145"/>
      <c r="R478" s="145"/>
      <c r="S478" s="148"/>
      <c r="T478" s="147"/>
      <c r="U478" s="144"/>
      <c r="V478" s="144"/>
    </row>
    <row r="479" spans="1:22" ht="33.75" customHeight="1" x14ac:dyDescent="0.15">
      <c r="A479" s="144"/>
      <c r="B479" s="144"/>
      <c r="C479" s="145"/>
      <c r="D479" s="145"/>
      <c r="E479" s="148"/>
      <c r="F479" s="147"/>
      <c r="G479" s="144"/>
      <c r="H479" s="144"/>
      <c r="I479" s="144"/>
      <c r="J479" s="145"/>
      <c r="K479" s="145"/>
      <c r="L479" s="154"/>
      <c r="M479" s="155"/>
      <c r="N479" s="144"/>
      <c r="O479" s="144"/>
      <c r="P479" s="144"/>
      <c r="Q479" s="145"/>
      <c r="R479" s="145"/>
      <c r="S479" s="148"/>
      <c r="T479" s="147"/>
      <c r="U479" s="144"/>
      <c r="V479" s="144"/>
    </row>
    <row r="480" spans="1:22" ht="33.75" customHeight="1" x14ac:dyDescent="0.15">
      <c r="A480" s="144"/>
      <c r="B480" s="144"/>
      <c r="C480" s="145"/>
      <c r="D480" s="145"/>
      <c r="E480" s="148"/>
      <c r="F480" s="147"/>
      <c r="G480" s="144"/>
      <c r="H480" s="144"/>
      <c r="I480" s="144"/>
      <c r="J480" s="145"/>
      <c r="K480" s="145"/>
      <c r="L480" s="154"/>
      <c r="M480" s="155"/>
      <c r="N480" s="144"/>
      <c r="O480" s="144"/>
      <c r="P480" s="144"/>
      <c r="Q480" s="145"/>
      <c r="R480" s="145"/>
      <c r="S480" s="148"/>
      <c r="T480" s="147"/>
      <c r="U480" s="144"/>
      <c r="V480" s="144"/>
    </row>
    <row r="481" spans="1:22" ht="33.75" customHeight="1" x14ac:dyDescent="0.15">
      <c r="A481" s="144"/>
      <c r="B481" s="144"/>
      <c r="C481" s="145"/>
      <c r="D481" s="145"/>
      <c r="E481" s="148"/>
      <c r="F481" s="147"/>
      <c r="G481" s="144"/>
      <c r="H481" s="144"/>
      <c r="I481" s="144"/>
      <c r="J481" s="145"/>
      <c r="K481" s="145"/>
      <c r="L481" s="154"/>
      <c r="M481" s="155"/>
      <c r="N481" s="144"/>
      <c r="O481" s="144"/>
      <c r="P481" s="144"/>
      <c r="Q481" s="145"/>
      <c r="R481" s="145"/>
      <c r="S481" s="148"/>
      <c r="T481" s="147"/>
      <c r="U481" s="144"/>
      <c r="V481" s="144"/>
    </row>
    <row r="482" spans="1:22" ht="33.75" customHeight="1" x14ac:dyDescent="0.15">
      <c r="A482" s="144"/>
      <c r="B482" s="144"/>
      <c r="C482" s="145"/>
      <c r="D482" s="145"/>
      <c r="E482" s="148"/>
      <c r="F482" s="147"/>
      <c r="G482" s="144"/>
      <c r="H482" s="144"/>
      <c r="I482" s="144"/>
      <c r="J482" s="145"/>
      <c r="K482" s="145"/>
      <c r="L482" s="154"/>
      <c r="M482" s="155"/>
      <c r="N482" s="144"/>
      <c r="O482" s="144"/>
      <c r="P482" s="144"/>
      <c r="Q482" s="145"/>
      <c r="R482" s="145"/>
      <c r="S482" s="148"/>
      <c r="T482" s="147"/>
      <c r="U482" s="144"/>
      <c r="V482" s="144"/>
    </row>
    <row r="483" spans="1:22" ht="33.75" customHeight="1" x14ac:dyDescent="0.15">
      <c r="A483" s="144"/>
      <c r="B483" s="144"/>
      <c r="C483" s="145"/>
      <c r="D483" s="145"/>
      <c r="E483" s="148"/>
      <c r="F483" s="147"/>
      <c r="G483" s="144"/>
      <c r="H483" s="144"/>
      <c r="I483" s="144"/>
      <c r="J483" s="145"/>
      <c r="K483" s="145"/>
      <c r="L483" s="154"/>
      <c r="M483" s="155"/>
      <c r="N483" s="144"/>
      <c r="O483" s="144"/>
      <c r="P483" s="144"/>
      <c r="Q483" s="145"/>
      <c r="R483" s="145"/>
      <c r="S483" s="148"/>
      <c r="T483" s="147"/>
      <c r="U483" s="144"/>
      <c r="V483" s="144"/>
    </row>
    <row r="484" spans="1:22" ht="33.75" customHeight="1" x14ac:dyDescent="0.15">
      <c r="A484" s="144"/>
      <c r="B484" s="144"/>
      <c r="C484" s="145"/>
      <c r="D484" s="145"/>
      <c r="E484" s="148"/>
      <c r="F484" s="147"/>
      <c r="G484" s="144"/>
      <c r="H484" s="144"/>
      <c r="I484" s="144"/>
      <c r="J484" s="145"/>
      <c r="K484" s="145"/>
      <c r="L484" s="154"/>
      <c r="M484" s="155"/>
      <c r="N484" s="144"/>
      <c r="O484" s="144"/>
      <c r="P484" s="144"/>
      <c r="Q484" s="145"/>
      <c r="R484" s="145"/>
      <c r="S484" s="148"/>
      <c r="T484" s="147"/>
      <c r="U484" s="144"/>
      <c r="V484" s="144"/>
    </row>
    <row r="485" spans="1:22" ht="33.75" customHeight="1" x14ac:dyDescent="0.15">
      <c r="A485" s="144"/>
      <c r="B485" s="144"/>
      <c r="C485" s="145"/>
      <c r="D485" s="145"/>
      <c r="E485" s="148"/>
      <c r="F485" s="147"/>
      <c r="G485" s="144"/>
      <c r="H485" s="144"/>
      <c r="I485" s="144"/>
      <c r="J485" s="145"/>
      <c r="K485" s="145"/>
      <c r="L485" s="154"/>
      <c r="M485" s="155"/>
      <c r="N485" s="144"/>
      <c r="O485" s="144"/>
      <c r="P485" s="144"/>
      <c r="Q485" s="145"/>
      <c r="R485" s="145"/>
      <c r="S485" s="148"/>
      <c r="T485" s="147"/>
      <c r="U485" s="144"/>
      <c r="V485" s="144"/>
    </row>
    <row r="486" spans="1:22" ht="33.75" customHeight="1" x14ac:dyDescent="0.15">
      <c r="A486" s="144"/>
      <c r="B486" s="144"/>
      <c r="C486" s="145"/>
      <c r="D486" s="145"/>
      <c r="E486" s="148"/>
      <c r="F486" s="147"/>
      <c r="G486" s="144"/>
      <c r="H486" s="144"/>
      <c r="I486" s="144"/>
      <c r="J486" s="145"/>
      <c r="K486" s="145"/>
      <c r="L486" s="154"/>
      <c r="M486" s="155"/>
      <c r="N486" s="144"/>
      <c r="O486" s="144"/>
      <c r="P486" s="144"/>
      <c r="Q486" s="145"/>
      <c r="R486" s="145"/>
      <c r="S486" s="148"/>
      <c r="T486" s="147"/>
      <c r="U486" s="144"/>
      <c r="V486" s="144"/>
    </row>
    <row r="487" spans="1:22" ht="33.75" customHeight="1" x14ac:dyDescent="0.15">
      <c r="A487" s="144"/>
      <c r="B487" s="144"/>
      <c r="C487" s="145"/>
      <c r="D487" s="145"/>
      <c r="E487" s="148"/>
      <c r="F487" s="147"/>
      <c r="G487" s="144"/>
      <c r="H487" s="144"/>
      <c r="I487" s="144"/>
      <c r="J487" s="145"/>
      <c r="K487" s="145"/>
      <c r="L487" s="154"/>
      <c r="M487" s="155"/>
      <c r="N487" s="144"/>
      <c r="O487" s="144"/>
      <c r="P487" s="144"/>
      <c r="Q487" s="145"/>
      <c r="R487" s="145"/>
      <c r="S487" s="148"/>
      <c r="T487" s="147"/>
      <c r="U487" s="144"/>
      <c r="V487" s="144"/>
    </row>
    <row r="488" spans="1:22" ht="33.75" customHeight="1" x14ac:dyDescent="0.15">
      <c r="A488" s="144"/>
      <c r="B488" s="144"/>
      <c r="C488" s="145"/>
      <c r="D488" s="145"/>
      <c r="E488" s="148"/>
      <c r="F488" s="147"/>
      <c r="G488" s="144"/>
      <c r="H488" s="144"/>
      <c r="I488" s="144"/>
      <c r="J488" s="145"/>
      <c r="K488" s="145"/>
      <c r="L488" s="154"/>
      <c r="M488" s="155"/>
      <c r="N488" s="144"/>
      <c r="O488" s="144"/>
      <c r="P488" s="144"/>
      <c r="Q488" s="145"/>
      <c r="R488" s="145"/>
      <c r="S488" s="148"/>
      <c r="T488" s="147"/>
      <c r="U488" s="144"/>
      <c r="V488" s="144"/>
    </row>
    <row r="489" spans="1:22" ht="33.75" customHeight="1" x14ac:dyDescent="0.15">
      <c r="A489" s="144"/>
      <c r="B489" s="144"/>
      <c r="C489" s="145"/>
      <c r="D489" s="145"/>
      <c r="E489" s="148"/>
      <c r="F489" s="147"/>
      <c r="G489" s="144"/>
      <c r="H489" s="144"/>
      <c r="I489" s="144"/>
      <c r="J489" s="145"/>
      <c r="K489" s="145"/>
      <c r="L489" s="154"/>
      <c r="M489" s="155"/>
      <c r="N489" s="144"/>
      <c r="O489" s="144"/>
      <c r="P489" s="144"/>
      <c r="Q489" s="145"/>
      <c r="R489" s="145"/>
      <c r="S489" s="148"/>
      <c r="T489" s="147"/>
      <c r="U489" s="144"/>
      <c r="V489" s="144"/>
    </row>
    <row r="490" spans="1:22" ht="33.75" customHeight="1" x14ac:dyDescent="0.15">
      <c r="A490" s="144"/>
      <c r="B490" s="144"/>
      <c r="C490" s="145"/>
      <c r="D490" s="145"/>
      <c r="E490" s="148"/>
      <c r="F490" s="147"/>
      <c r="G490" s="144"/>
      <c r="H490" s="144"/>
      <c r="I490" s="144"/>
      <c r="J490" s="145"/>
      <c r="K490" s="145"/>
      <c r="L490" s="154"/>
      <c r="M490" s="155"/>
      <c r="N490" s="144"/>
      <c r="O490" s="144"/>
      <c r="P490" s="144"/>
      <c r="Q490" s="145"/>
      <c r="R490" s="145"/>
      <c r="S490" s="148"/>
      <c r="T490" s="147"/>
      <c r="U490" s="144"/>
      <c r="V490" s="144"/>
    </row>
    <row r="491" spans="1:22" ht="33.75" customHeight="1" x14ac:dyDescent="0.15">
      <c r="A491" s="144"/>
      <c r="B491" s="144"/>
      <c r="C491" s="145"/>
      <c r="D491" s="145"/>
      <c r="E491" s="148"/>
      <c r="F491" s="147"/>
      <c r="G491" s="144"/>
      <c r="H491" s="144"/>
      <c r="I491" s="144"/>
      <c r="J491" s="145"/>
      <c r="K491" s="145"/>
      <c r="L491" s="154"/>
      <c r="M491" s="155"/>
      <c r="N491" s="144"/>
      <c r="O491" s="144"/>
      <c r="P491" s="144"/>
      <c r="Q491" s="145"/>
      <c r="R491" s="145"/>
      <c r="S491" s="148"/>
      <c r="T491" s="147"/>
      <c r="U491" s="144"/>
      <c r="V491" s="144"/>
    </row>
    <row r="492" spans="1:22" ht="33.75" customHeight="1" x14ac:dyDescent="0.15">
      <c r="A492" s="144"/>
      <c r="B492" s="144"/>
      <c r="C492" s="145"/>
      <c r="D492" s="145"/>
      <c r="E492" s="148"/>
      <c r="F492" s="147"/>
      <c r="G492" s="144"/>
      <c r="H492" s="144"/>
      <c r="I492" s="144"/>
      <c r="J492" s="145"/>
      <c r="K492" s="145"/>
      <c r="L492" s="154"/>
      <c r="M492" s="155"/>
      <c r="N492" s="144"/>
      <c r="O492" s="144"/>
      <c r="P492" s="144"/>
      <c r="Q492" s="145"/>
      <c r="R492" s="145"/>
      <c r="S492" s="148"/>
      <c r="T492" s="147"/>
      <c r="U492" s="144"/>
      <c r="V492" s="144"/>
    </row>
    <row r="493" spans="1:22" ht="33.75" customHeight="1" x14ac:dyDescent="0.15">
      <c r="A493" s="144"/>
      <c r="B493" s="144"/>
      <c r="C493" s="145"/>
      <c r="D493" s="145"/>
      <c r="E493" s="148"/>
      <c r="F493" s="147"/>
      <c r="G493" s="144"/>
      <c r="H493" s="144"/>
      <c r="I493" s="144"/>
      <c r="J493" s="145"/>
      <c r="K493" s="145"/>
      <c r="L493" s="154"/>
      <c r="M493" s="155"/>
      <c r="N493" s="144"/>
      <c r="O493" s="144"/>
      <c r="P493" s="144"/>
      <c r="Q493" s="145"/>
      <c r="R493" s="145"/>
      <c r="S493" s="148"/>
      <c r="T493" s="147"/>
      <c r="U493" s="144"/>
      <c r="V493" s="144"/>
    </row>
    <row r="494" spans="1:22" ht="33.75" customHeight="1" x14ac:dyDescent="0.15">
      <c r="A494" s="144"/>
      <c r="B494" s="144"/>
      <c r="C494" s="145"/>
      <c r="D494" s="145"/>
      <c r="E494" s="148"/>
      <c r="F494" s="147"/>
      <c r="G494" s="144"/>
      <c r="H494" s="144"/>
      <c r="I494" s="144"/>
      <c r="J494" s="145"/>
      <c r="K494" s="145"/>
      <c r="L494" s="154"/>
      <c r="M494" s="155"/>
      <c r="N494" s="144"/>
      <c r="O494" s="144"/>
      <c r="P494" s="144"/>
      <c r="Q494" s="145"/>
      <c r="R494" s="145"/>
      <c r="S494" s="148"/>
      <c r="T494" s="147"/>
      <c r="U494" s="144"/>
      <c r="V494" s="144"/>
    </row>
    <row r="495" spans="1:22" ht="33.75" customHeight="1" x14ac:dyDescent="0.15">
      <c r="A495" s="144"/>
      <c r="B495" s="144"/>
      <c r="C495" s="145"/>
      <c r="D495" s="145"/>
      <c r="E495" s="148"/>
      <c r="F495" s="147"/>
      <c r="G495" s="144"/>
      <c r="H495" s="144"/>
      <c r="I495" s="144"/>
      <c r="J495" s="145"/>
      <c r="K495" s="145"/>
      <c r="L495" s="154"/>
      <c r="M495" s="155"/>
      <c r="N495" s="144"/>
      <c r="O495" s="144"/>
      <c r="P495" s="144"/>
      <c r="Q495" s="145"/>
      <c r="R495" s="145"/>
      <c r="S495" s="148"/>
      <c r="T495" s="147"/>
      <c r="U495" s="144"/>
      <c r="V495" s="144"/>
    </row>
    <row r="496" spans="1:22" ht="33.75" customHeight="1" x14ac:dyDescent="0.15">
      <c r="A496" s="144"/>
      <c r="B496" s="144"/>
      <c r="C496" s="145"/>
      <c r="D496" s="145"/>
      <c r="E496" s="148"/>
      <c r="F496" s="147"/>
      <c r="G496" s="144"/>
      <c r="H496" s="144"/>
      <c r="I496" s="144"/>
      <c r="J496" s="145"/>
      <c r="K496" s="145"/>
      <c r="L496" s="154"/>
      <c r="M496" s="155"/>
      <c r="N496" s="144"/>
      <c r="O496" s="144"/>
      <c r="P496" s="144"/>
      <c r="Q496" s="145"/>
      <c r="R496" s="145"/>
      <c r="S496" s="148"/>
      <c r="T496" s="147"/>
      <c r="U496" s="144"/>
      <c r="V496" s="144"/>
    </row>
    <row r="497" spans="1:22" ht="33.75" customHeight="1" x14ac:dyDescent="0.15">
      <c r="A497" s="144"/>
      <c r="B497" s="144"/>
      <c r="C497" s="145"/>
      <c r="D497" s="145"/>
      <c r="E497" s="148"/>
      <c r="F497" s="147"/>
      <c r="G497" s="144"/>
      <c r="H497" s="144"/>
      <c r="I497" s="144"/>
      <c r="J497" s="145"/>
      <c r="K497" s="145"/>
      <c r="L497" s="154"/>
      <c r="M497" s="155"/>
      <c r="N497" s="144"/>
      <c r="O497" s="144"/>
      <c r="P497" s="144"/>
      <c r="Q497" s="145"/>
      <c r="R497" s="145"/>
      <c r="S497" s="148"/>
      <c r="T497" s="147"/>
      <c r="U497" s="144"/>
      <c r="V497" s="144"/>
    </row>
    <row r="498" spans="1:22" ht="33.75" customHeight="1" x14ac:dyDescent="0.15">
      <c r="A498" s="144"/>
      <c r="B498" s="144"/>
      <c r="C498" s="145"/>
      <c r="D498" s="145"/>
      <c r="E498" s="148"/>
      <c r="F498" s="147"/>
      <c r="G498" s="144"/>
      <c r="H498" s="144"/>
      <c r="I498" s="144"/>
      <c r="J498" s="145"/>
      <c r="K498" s="145"/>
      <c r="L498" s="154"/>
      <c r="M498" s="155"/>
      <c r="N498" s="144"/>
      <c r="O498" s="144"/>
      <c r="P498" s="144"/>
      <c r="Q498" s="145"/>
      <c r="R498" s="145"/>
      <c r="S498" s="148"/>
      <c r="T498" s="147"/>
      <c r="U498" s="144"/>
      <c r="V498" s="144"/>
    </row>
    <row r="499" spans="1:22" ht="33.75" customHeight="1" x14ac:dyDescent="0.15">
      <c r="A499" s="144"/>
      <c r="B499" s="144"/>
      <c r="C499" s="145"/>
      <c r="D499" s="145"/>
      <c r="E499" s="148"/>
      <c r="F499" s="147"/>
      <c r="G499" s="144"/>
      <c r="H499" s="144"/>
      <c r="I499" s="144"/>
      <c r="J499" s="145"/>
      <c r="K499" s="145"/>
      <c r="L499" s="154"/>
      <c r="M499" s="155"/>
      <c r="N499" s="144"/>
      <c r="O499" s="144"/>
      <c r="P499" s="144"/>
      <c r="Q499" s="145"/>
      <c r="R499" s="145"/>
      <c r="S499" s="148"/>
      <c r="T499" s="147"/>
      <c r="U499" s="144"/>
      <c r="V499" s="144"/>
    </row>
    <row r="500" spans="1:22" ht="33.75" customHeight="1" x14ac:dyDescent="0.15">
      <c r="A500" s="144"/>
      <c r="B500" s="144"/>
      <c r="C500" s="145"/>
      <c r="D500" s="145"/>
      <c r="E500" s="148"/>
      <c r="F500" s="147"/>
      <c r="G500" s="144"/>
      <c r="H500" s="144"/>
      <c r="I500" s="144"/>
      <c r="J500" s="145"/>
      <c r="K500" s="145"/>
      <c r="L500" s="154"/>
      <c r="M500" s="155"/>
      <c r="N500" s="144"/>
      <c r="O500" s="144"/>
      <c r="P500" s="144"/>
      <c r="Q500" s="145"/>
      <c r="R500" s="145"/>
      <c r="S500" s="148"/>
      <c r="T500" s="147"/>
      <c r="U500" s="144"/>
      <c r="V500" s="144"/>
    </row>
    <row r="501" spans="1:22" ht="33.75" customHeight="1" x14ac:dyDescent="0.15">
      <c r="A501" s="144"/>
      <c r="B501" s="144"/>
      <c r="C501" s="145"/>
      <c r="D501" s="145"/>
      <c r="E501" s="148"/>
      <c r="F501" s="147"/>
      <c r="G501" s="144"/>
      <c r="H501" s="144"/>
      <c r="I501" s="144"/>
      <c r="J501" s="145"/>
      <c r="K501" s="145"/>
      <c r="L501" s="154"/>
      <c r="M501" s="155"/>
      <c r="N501" s="144"/>
      <c r="O501" s="144"/>
      <c r="P501" s="144"/>
      <c r="Q501" s="145"/>
      <c r="R501" s="145"/>
      <c r="S501" s="148"/>
      <c r="T501" s="147"/>
      <c r="U501" s="144"/>
      <c r="V501" s="144"/>
    </row>
    <row r="502" spans="1:22" ht="33.75" customHeight="1" x14ac:dyDescent="0.15">
      <c r="A502" s="144"/>
      <c r="B502" s="144"/>
      <c r="C502" s="145"/>
      <c r="D502" s="145"/>
      <c r="E502" s="148"/>
      <c r="F502" s="147"/>
      <c r="G502" s="144"/>
      <c r="H502" s="144"/>
      <c r="I502" s="144"/>
      <c r="J502" s="145"/>
      <c r="K502" s="145"/>
      <c r="L502" s="154"/>
      <c r="M502" s="155"/>
      <c r="N502" s="144"/>
      <c r="O502" s="144"/>
      <c r="P502" s="144"/>
      <c r="Q502" s="145"/>
      <c r="R502" s="145"/>
      <c r="S502" s="148"/>
      <c r="T502" s="147"/>
      <c r="U502" s="144"/>
      <c r="V502" s="144"/>
    </row>
    <row r="503" spans="1:22" ht="33.75" customHeight="1" x14ac:dyDescent="0.15">
      <c r="A503" s="144"/>
      <c r="B503" s="144"/>
      <c r="C503" s="145"/>
      <c r="D503" s="145"/>
      <c r="E503" s="148"/>
      <c r="F503" s="147"/>
      <c r="G503" s="144"/>
      <c r="H503" s="144"/>
      <c r="I503" s="144"/>
      <c r="J503" s="145"/>
      <c r="K503" s="145"/>
      <c r="L503" s="154"/>
      <c r="M503" s="155"/>
      <c r="N503" s="144"/>
      <c r="O503" s="144"/>
      <c r="P503" s="144"/>
      <c r="Q503" s="145"/>
      <c r="R503" s="145"/>
      <c r="S503" s="148"/>
      <c r="T503" s="147"/>
      <c r="U503" s="144"/>
      <c r="V503" s="144"/>
    </row>
    <row r="504" spans="1:22" ht="33.75" customHeight="1" x14ac:dyDescent="0.15">
      <c r="A504" s="144"/>
      <c r="B504" s="144"/>
      <c r="C504" s="145"/>
      <c r="D504" s="145"/>
      <c r="E504" s="148"/>
      <c r="F504" s="147"/>
      <c r="G504" s="144"/>
      <c r="H504" s="144"/>
      <c r="I504" s="144"/>
      <c r="J504" s="145"/>
      <c r="K504" s="145"/>
      <c r="L504" s="154"/>
      <c r="M504" s="155"/>
      <c r="N504" s="144"/>
      <c r="O504" s="144"/>
      <c r="P504" s="144"/>
      <c r="Q504" s="145"/>
      <c r="R504" s="145"/>
      <c r="S504" s="148"/>
      <c r="T504" s="147"/>
      <c r="U504" s="144"/>
      <c r="V504" s="144"/>
    </row>
    <row r="505" spans="1:22" ht="33.75" customHeight="1" x14ac:dyDescent="0.15">
      <c r="A505" s="144"/>
      <c r="B505" s="144"/>
      <c r="C505" s="145"/>
      <c r="D505" s="145"/>
      <c r="E505" s="148"/>
      <c r="F505" s="147"/>
      <c r="G505" s="144"/>
      <c r="H505" s="144"/>
      <c r="I505" s="144"/>
      <c r="J505" s="145"/>
      <c r="K505" s="145"/>
      <c r="L505" s="154"/>
      <c r="M505" s="155"/>
      <c r="N505" s="144"/>
      <c r="O505" s="144"/>
      <c r="P505" s="144"/>
      <c r="Q505" s="145"/>
      <c r="R505" s="145"/>
      <c r="S505" s="148"/>
      <c r="T505" s="147"/>
      <c r="U505" s="144"/>
      <c r="V505" s="144"/>
    </row>
    <row r="506" spans="1:22" ht="33.75" customHeight="1" x14ac:dyDescent="0.15">
      <c r="A506" s="144"/>
      <c r="B506" s="144"/>
      <c r="C506" s="145"/>
      <c r="D506" s="145"/>
      <c r="E506" s="148"/>
      <c r="F506" s="147"/>
      <c r="G506" s="144"/>
      <c r="H506" s="144"/>
      <c r="I506" s="144"/>
      <c r="J506" s="145"/>
      <c r="K506" s="145"/>
      <c r="L506" s="154"/>
      <c r="M506" s="155"/>
      <c r="N506" s="144"/>
      <c r="O506" s="144"/>
      <c r="P506" s="144"/>
      <c r="Q506" s="145"/>
      <c r="R506" s="145"/>
      <c r="S506" s="148"/>
      <c r="T506" s="147"/>
      <c r="U506" s="144"/>
      <c r="V506" s="144"/>
    </row>
    <row r="507" spans="1:22" ht="33.75" customHeight="1" x14ac:dyDescent="0.15">
      <c r="A507" s="144"/>
      <c r="B507" s="144"/>
      <c r="C507" s="145"/>
      <c r="D507" s="145"/>
      <c r="E507" s="148"/>
      <c r="F507" s="147"/>
      <c r="G507" s="144"/>
      <c r="H507" s="144"/>
      <c r="I507" s="144"/>
      <c r="J507" s="145"/>
      <c r="K507" s="145"/>
      <c r="L507" s="154"/>
      <c r="M507" s="155"/>
      <c r="N507" s="144"/>
      <c r="O507" s="144"/>
      <c r="P507" s="144"/>
      <c r="Q507" s="145"/>
      <c r="R507" s="145"/>
      <c r="S507" s="148"/>
      <c r="T507" s="147"/>
      <c r="U507" s="144"/>
      <c r="V507" s="144"/>
    </row>
    <row r="508" spans="1:22" ht="33.75" customHeight="1" x14ac:dyDescent="0.15">
      <c r="A508" s="144"/>
      <c r="B508" s="144"/>
      <c r="C508" s="145"/>
      <c r="D508" s="145"/>
      <c r="E508" s="148"/>
      <c r="F508" s="147"/>
      <c r="G508" s="144"/>
      <c r="H508" s="144"/>
      <c r="I508" s="144"/>
      <c r="J508" s="145"/>
      <c r="K508" s="145"/>
      <c r="L508" s="154"/>
      <c r="M508" s="155"/>
      <c r="N508" s="144"/>
      <c r="O508" s="144"/>
      <c r="P508" s="144"/>
      <c r="Q508" s="145"/>
      <c r="R508" s="145"/>
      <c r="S508" s="148"/>
      <c r="T508" s="147"/>
      <c r="U508" s="144"/>
      <c r="V508" s="144"/>
    </row>
    <row r="509" spans="1:22" ht="33.75" customHeight="1" x14ac:dyDescent="0.15">
      <c r="A509" s="144"/>
      <c r="B509" s="144"/>
      <c r="C509" s="145"/>
      <c r="D509" s="145"/>
      <c r="E509" s="148"/>
      <c r="F509" s="147"/>
      <c r="G509" s="144"/>
      <c r="H509" s="144"/>
      <c r="I509" s="144"/>
      <c r="J509" s="145"/>
      <c r="K509" s="145"/>
      <c r="L509" s="154"/>
      <c r="M509" s="155"/>
      <c r="N509" s="144"/>
      <c r="O509" s="144"/>
      <c r="P509" s="144"/>
      <c r="Q509" s="145"/>
      <c r="R509" s="145"/>
      <c r="S509" s="148"/>
      <c r="T509" s="147"/>
      <c r="U509" s="144"/>
      <c r="V509" s="144"/>
    </row>
    <row r="510" spans="1:22" ht="33.75" customHeight="1" x14ac:dyDescent="0.15">
      <c r="A510" s="144"/>
      <c r="B510" s="144"/>
      <c r="C510" s="145"/>
      <c r="D510" s="145"/>
      <c r="E510" s="148"/>
      <c r="F510" s="147"/>
      <c r="G510" s="144"/>
      <c r="H510" s="144"/>
      <c r="I510" s="144"/>
      <c r="J510" s="145"/>
      <c r="K510" s="145"/>
      <c r="L510" s="154"/>
      <c r="M510" s="155"/>
      <c r="N510" s="144"/>
      <c r="O510" s="144"/>
      <c r="P510" s="144"/>
      <c r="Q510" s="145"/>
      <c r="R510" s="145"/>
      <c r="S510" s="148"/>
      <c r="T510" s="147"/>
      <c r="U510" s="144"/>
      <c r="V510" s="144"/>
    </row>
    <row r="511" spans="1:22" ht="33.75" customHeight="1" x14ac:dyDescent="0.15">
      <c r="A511" s="144"/>
      <c r="B511" s="144"/>
      <c r="C511" s="145"/>
      <c r="D511" s="145"/>
      <c r="E511" s="148"/>
      <c r="F511" s="147"/>
      <c r="G511" s="144"/>
      <c r="H511" s="144"/>
      <c r="I511" s="144"/>
      <c r="J511" s="145"/>
      <c r="K511" s="145"/>
      <c r="L511" s="154"/>
      <c r="M511" s="155"/>
      <c r="N511" s="144"/>
      <c r="O511" s="144"/>
      <c r="P511" s="144"/>
      <c r="Q511" s="145"/>
      <c r="R511" s="145"/>
      <c r="S511" s="148"/>
      <c r="T511" s="147"/>
      <c r="U511" s="144"/>
      <c r="V511" s="144"/>
    </row>
    <row r="512" spans="1:22" ht="33.75" customHeight="1" x14ac:dyDescent="0.15">
      <c r="A512" s="144"/>
      <c r="B512" s="144"/>
      <c r="C512" s="145"/>
      <c r="D512" s="145"/>
      <c r="E512" s="148"/>
      <c r="F512" s="147"/>
      <c r="G512" s="144"/>
      <c r="H512" s="144"/>
      <c r="I512" s="144"/>
      <c r="J512" s="145"/>
      <c r="K512" s="145"/>
      <c r="L512" s="154"/>
      <c r="M512" s="155"/>
      <c r="N512" s="144"/>
      <c r="O512" s="144"/>
      <c r="P512" s="144"/>
      <c r="Q512" s="145"/>
      <c r="R512" s="145"/>
      <c r="S512" s="148"/>
      <c r="T512" s="147"/>
      <c r="U512" s="144"/>
      <c r="V512" s="144"/>
    </row>
    <row r="513" spans="1:22" ht="33.75" customHeight="1" x14ac:dyDescent="0.15">
      <c r="A513" s="144"/>
      <c r="B513" s="144"/>
      <c r="C513" s="145"/>
      <c r="D513" s="145"/>
      <c r="E513" s="148"/>
      <c r="F513" s="147"/>
      <c r="G513" s="144"/>
      <c r="H513" s="144"/>
      <c r="I513" s="144"/>
      <c r="J513" s="145"/>
      <c r="K513" s="145"/>
      <c r="L513" s="154"/>
      <c r="M513" s="155"/>
      <c r="N513" s="144"/>
      <c r="O513" s="144"/>
      <c r="P513" s="144"/>
      <c r="Q513" s="145"/>
      <c r="R513" s="145"/>
      <c r="S513" s="148"/>
      <c r="T513" s="147"/>
      <c r="U513" s="144"/>
      <c r="V513" s="144"/>
    </row>
    <row r="514" spans="1:22" ht="33.75" customHeight="1" x14ac:dyDescent="0.15">
      <c r="A514" s="144"/>
      <c r="B514" s="144"/>
      <c r="C514" s="145"/>
      <c r="D514" s="145"/>
      <c r="E514" s="148"/>
      <c r="F514" s="147"/>
      <c r="G514" s="144"/>
      <c r="H514" s="144"/>
      <c r="I514" s="144"/>
      <c r="J514" s="145"/>
      <c r="K514" s="145"/>
      <c r="L514" s="154"/>
      <c r="M514" s="155"/>
      <c r="N514" s="144"/>
      <c r="O514" s="144"/>
      <c r="P514" s="144"/>
      <c r="Q514" s="145"/>
      <c r="R514" s="145"/>
      <c r="S514" s="148"/>
      <c r="T514" s="147"/>
      <c r="U514" s="144"/>
      <c r="V514" s="144"/>
    </row>
    <row r="515" spans="1:22" ht="33.75" customHeight="1" x14ac:dyDescent="0.15">
      <c r="A515" s="144"/>
      <c r="B515" s="144"/>
      <c r="C515" s="145"/>
      <c r="D515" s="145"/>
      <c r="E515" s="148"/>
      <c r="F515" s="147"/>
      <c r="G515" s="144"/>
      <c r="H515" s="144"/>
      <c r="I515" s="144"/>
      <c r="J515" s="145"/>
      <c r="K515" s="145"/>
      <c r="L515" s="154"/>
      <c r="M515" s="155"/>
      <c r="N515" s="144"/>
      <c r="O515" s="144"/>
      <c r="P515" s="144"/>
      <c r="Q515" s="145"/>
      <c r="R515" s="145"/>
      <c r="S515" s="148"/>
      <c r="T515" s="147"/>
      <c r="U515" s="144"/>
      <c r="V515" s="144"/>
    </row>
    <row r="516" spans="1:22" ht="33.75" customHeight="1" x14ac:dyDescent="0.15">
      <c r="A516" s="144"/>
      <c r="B516" s="144"/>
      <c r="C516" s="145"/>
      <c r="D516" s="145"/>
      <c r="E516" s="148"/>
      <c r="F516" s="147"/>
      <c r="G516" s="144"/>
      <c r="H516" s="144"/>
      <c r="I516" s="144"/>
      <c r="J516" s="145"/>
      <c r="K516" s="145"/>
      <c r="L516" s="154"/>
      <c r="M516" s="155"/>
      <c r="N516" s="144"/>
      <c r="O516" s="144"/>
      <c r="P516" s="144"/>
      <c r="Q516" s="145"/>
      <c r="R516" s="145"/>
      <c r="S516" s="148"/>
      <c r="T516" s="147"/>
      <c r="U516" s="144"/>
      <c r="V516" s="144"/>
    </row>
    <row r="517" spans="1:22" ht="33.75" customHeight="1" x14ac:dyDescent="0.15">
      <c r="A517" s="144"/>
      <c r="B517" s="144"/>
      <c r="C517" s="145"/>
      <c r="D517" s="145"/>
      <c r="E517" s="148"/>
      <c r="F517" s="147"/>
      <c r="G517" s="144"/>
      <c r="H517" s="144"/>
      <c r="I517" s="144"/>
      <c r="J517" s="145"/>
      <c r="K517" s="145"/>
      <c r="L517" s="154"/>
      <c r="M517" s="155"/>
      <c r="N517" s="144"/>
      <c r="O517" s="144"/>
      <c r="P517" s="144"/>
      <c r="Q517" s="145"/>
      <c r="R517" s="145"/>
      <c r="S517" s="148"/>
      <c r="T517" s="147"/>
      <c r="U517" s="144"/>
      <c r="V517" s="144"/>
    </row>
    <row r="518" spans="1:22" ht="33.75" customHeight="1" x14ac:dyDescent="0.15">
      <c r="A518" s="144"/>
      <c r="B518" s="144"/>
      <c r="C518" s="145"/>
      <c r="D518" s="145"/>
      <c r="E518" s="148"/>
      <c r="F518" s="147"/>
      <c r="G518" s="144"/>
      <c r="H518" s="144"/>
      <c r="I518" s="144"/>
      <c r="J518" s="145"/>
      <c r="K518" s="145"/>
      <c r="L518" s="154"/>
      <c r="M518" s="155"/>
      <c r="N518" s="144"/>
      <c r="O518" s="144"/>
      <c r="P518" s="144"/>
      <c r="Q518" s="145"/>
      <c r="R518" s="145"/>
      <c r="S518" s="148"/>
      <c r="T518" s="147"/>
      <c r="U518" s="144"/>
      <c r="V518" s="144"/>
    </row>
    <row r="519" spans="1:22" ht="33.75" customHeight="1" x14ac:dyDescent="0.15">
      <c r="A519" s="144"/>
      <c r="B519" s="144"/>
      <c r="C519" s="145"/>
      <c r="D519" s="145"/>
      <c r="E519" s="148"/>
      <c r="F519" s="147"/>
      <c r="G519" s="144"/>
      <c r="H519" s="144"/>
      <c r="I519" s="144"/>
      <c r="J519" s="145"/>
      <c r="K519" s="145"/>
      <c r="L519" s="154"/>
      <c r="M519" s="155"/>
      <c r="N519" s="144"/>
      <c r="O519" s="144"/>
      <c r="P519" s="144"/>
      <c r="Q519" s="145"/>
      <c r="R519" s="145"/>
      <c r="S519" s="148"/>
      <c r="T519" s="147"/>
      <c r="U519" s="144"/>
      <c r="V519" s="144"/>
    </row>
    <row r="520" spans="1:22" ht="33.75" customHeight="1" x14ac:dyDescent="0.15">
      <c r="A520" s="144"/>
      <c r="B520" s="144"/>
      <c r="C520" s="145"/>
      <c r="D520" s="145"/>
      <c r="E520" s="148"/>
      <c r="F520" s="147"/>
      <c r="G520" s="144"/>
      <c r="H520" s="144"/>
      <c r="I520" s="144"/>
      <c r="J520" s="145"/>
      <c r="K520" s="145"/>
      <c r="L520" s="154"/>
      <c r="M520" s="155"/>
      <c r="N520" s="144"/>
      <c r="O520" s="144"/>
      <c r="P520" s="144"/>
      <c r="Q520" s="145"/>
      <c r="R520" s="145"/>
      <c r="S520" s="148"/>
      <c r="T520" s="147"/>
      <c r="U520" s="144"/>
      <c r="V520" s="144"/>
    </row>
    <row r="521" spans="1:22" ht="33.75" customHeight="1" x14ac:dyDescent="0.15">
      <c r="A521" s="144"/>
      <c r="B521" s="144"/>
      <c r="C521" s="145"/>
      <c r="D521" s="145"/>
      <c r="E521" s="148"/>
      <c r="F521" s="147"/>
      <c r="G521" s="144"/>
      <c r="H521" s="144"/>
      <c r="I521" s="144"/>
      <c r="J521" s="145"/>
      <c r="K521" s="145"/>
      <c r="L521" s="154"/>
      <c r="M521" s="155"/>
      <c r="N521" s="144"/>
      <c r="O521" s="144"/>
      <c r="P521" s="144"/>
      <c r="Q521" s="145"/>
      <c r="R521" s="145"/>
      <c r="S521" s="148"/>
      <c r="T521" s="147"/>
      <c r="U521" s="144"/>
      <c r="V521" s="144"/>
    </row>
    <row r="522" spans="1:22" ht="33.75" customHeight="1" x14ac:dyDescent="0.15">
      <c r="A522" s="144"/>
      <c r="B522" s="144"/>
      <c r="C522" s="145"/>
      <c r="D522" s="145"/>
      <c r="E522" s="148"/>
      <c r="F522" s="147"/>
      <c r="G522" s="144"/>
      <c r="H522" s="144"/>
      <c r="I522" s="144"/>
      <c r="J522" s="145"/>
      <c r="K522" s="145"/>
      <c r="L522" s="154"/>
      <c r="M522" s="155"/>
      <c r="N522" s="144"/>
      <c r="O522" s="144"/>
      <c r="P522" s="144"/>
      <c r="Q522" s="145"/>
      <c r="R522" s="145"/>
      <c r="S522" s="148"/>
      <c r="T522" s="147"/>
      <c r="U522" s="144"/>
      <c r="V522" s="144"/>
    </row>
    <row r="523" spans="1:22" ht="33.75" customHeight="1" x14ac:dyDescent="0.15">
      <c r="A523" s="144"/>
      <c r="B523" s="144"/>
      <c r="C523" s="145"/>
      <c r="D523" s="145"/>
      <c r="E523" s="148"/>
      <c r="F523" s="147"/>
      <c r="G523" s="144"/>
      <c r="H523" s="144"/>
      <c r="I523" s="144"/>
      <c r="J523" s="145"/>
      <c r="K523" s="145"/>
      <c r="L523" s="154"/>
      <c r="M523" s="155"/>
      <c r="N523" s="144"/>
      <c r="O523" s="144"/>
      <c r="P523" s="144"/>
      <c r="Q523" s="145"/>
      <c r="R523" s="145"/>
      <c r="S523" s="148"/>
      <c r="T523" s="147"/>
      <c r="U523" s="144"/>
      <c r="V523" s="144"/>
    </row>
    <row r="524" spans="1:22" ht="33.75" customHeight="1" x14ac:dyDescent="0.15">
      <c r="A524" s="144"/>
      <c r="B524" s="144"/>
      <c r="C524" s="145"/>
      <c r="D524" s="145"/>
      <c r="E524" s="148"/>
      <c r="F524" s="147"/>
      <c r="G524" s="144"/>
      <c r="H524" s="144"/>
      <c r="I524" s="144"/>
      <c r="J524" s="145"/>
      <c r="K524" s="145"/>
      <c r="L524" s="154"/>
      <c r="M524" s="155"/>
      <c r="N524" s="144"/>
      <c r="O524" s="144"/>
      <c r="P524" s="144"/>
      <c r="Q524" s="145"/>
      <c r="R524" s="145"/>
      <c r="S524" s="148"/>
      <c r="T524" s="147"/>
      <c r="U524" s="144"/>
      <c r="V524" s="144"/>
    </row>
    <row r="525" spans="1:22" ht="33.75" customHeight="1" x14ac:dyDescent="0.15">
      <c r="A525" s="144"/>
      <c r="B525" s="144"/>
      <c r="C525" s="145"/>
      <c r="D525" s="145"/>
      <c r="E525" s="148"/>
      <c r="F525" s="147"/>
      <c r="G525" s="144"/>
      <c r="H525" s="144"/>
      <c r="I525" s="144"/>
      <c r="J525" s="145"/>
      <c r="K525" s="145"/>
      <c r="L525" s="154"/>
      <c r="M525" s="155"/>
      <c r="N525" s="144"/>
      <c r="O525" s="144"/>
      <c r="P525" s="144"/>
      <c r="Q525" s="145"/>
      <c r="R525" s="145"/>
      <c r="S525" s="148"/>
      <c r="T525" s="147"/>
      <c r="U525" s="144"/>
      <c r="V525" s="144"/>
    </row>
    <row r="526" spans="1:22" ht="33.75" customHeight="1" x14ac:dyDescent="0.15">
      <c r="A526" s="144"/>
      <c r="B526" s="144"/>
      <c r="C526" s="145"/>
      <c r="D526" s="145"/>
      <c r="E526" s="148"/>
      <c r="F526" s="147"/>
      <c r="G526" s="144"/>
      <c r="H526" s="144"/>
      <c r="I526" s="144"/>
      <c r="J526" s="145"/>
      <c r="K526" s="145"/>
      <c r="L526" s="154"/>
      <c r="M526" s="155"/>
      <c r="N526" s="144"/>
      <c r="O526" s="144"/>
      <c r="P526" s="144"/>
      <c r="Q526" s="145"/>
      <c r="R526" s="145"/>
      <c r="S526" s="148"/>
      <c r="T526" s="147"/>
      <c r="U526" s="144"/>
      <c r="V526" s="144"/>
    </row>
    <row r="527" spans="1:22" ht="33.75" customHeight="1" x14ac:dyDescent="0.15">
      <c r="A527" s="144"/>
      <c r="B527" s="144"/>
      <c r="C527" s="145"/>
      <c r="D527" s="145"/>
      <c r="E527" s="148"/>
      <c r="F527" s="147"/>
      <c r="G527" s="144"/>
      <c r="H527" s="144"/>
      <c r="I527" s="144"/>
      <c r="J527" s="145"/>
      <c r="K527" s="145"/>
      <c r="L527" s="154"/>
      <c r="M527" s="155"/>
      <c r="N527" s="144"/>
      <c r="O527" s="144"/>
      <c r="P527" s="144"/>
      <c r="Q527" s="145"/>
      <c r="R527" s="145"/>
      <c r="S527" s="148"/>
      <c r="T527" s="147"/>
      <c r="U527" s="144"/>
      <c r="V527" s="144"/>
    </row>
    <row r="528" spans="1:22" ht="33.75" customHeight="1" x14ac:dyDescent="0.15">
      <c r="A528" s="144"/>
      <c r="B528" s="144"/>
      <c r="C528" s="145"/>
      <c r="D528" s="145"/>
      <c r="E528" s="148"/>
      <c r="F528" s="147"/>
      <c r="G528" s="144"/>
      <c r="H528" s="144"/>
      <c r="I528" s="144"/>
      <c r="J528" s="145"/>
      <c r="K528" s="145"/>
      <c r="L528" s="154"/>
      <c r="M528" s="155"/>
      <c r="N528" s="144"/>
      <c r="O528" s="144"/>
      <c r="P528" s="144"/>
      <c r="Q528" s="145"/>
      <c r="R528" s="145"/>
      <c r="S528" s="148"/>
      <c r="T528" s="147"/>
      <c r="U528" s="144"/>
      <c r="V528" s="144"/>
    </row>
    <row r="529" spans="1:22" ht="33.75" customHeight="1" x14ac:dyDescent="0.15">
      <c r="A529" s="144"/>
      <c r="B529" s="144"/>
      <c r="C529" s="145"/>
      <c r="D529" s="145"/>
      <c r="E529" s="148"/>
      <c r="F529" s="147"/>
      <c r="G529" s="144"/>
      <c r="H529" s="144"/>
      <c r="I529" s="144"/>
      <c r="J529" s="145"/>
      <c r="K529" s="145"/>
      <c r="L529" s="154"/>
      <c r="M529" s="155"/>
      <c r="N529" s="144"/>
      <c r="O529" s="144"/>
      <c r="P529" s="144"/>
      <c r="Q529" s="145"/>
      <c r="R529" s="145"/>
      <c r="S529" s="148"/>
      <c r="T529" s="147"/>
      <c r="U529" s="144"/>
      <c r="V529" s="144"/>
    </row>
    <row r="530" spans="1:22" ht="33.75" customHeight="1" x14ac:dyDescent="0.15">
      <c r="A530" s="144"/>
      <c r="B530" s="144"/>
      <c r="C530" s="145"/>
      <c r="D530" s="145"/>
      <c r="E530" s="148"/>
      <c r="F530" s="147"/>
      <c r="G530" s="144"/>
      <c r="H530" s="144"/>
      <c r="I530" s="144"/>
      <c r="J530" s="145"/>
      <c r="K530" s="145"/>
      <c r="L530" s="154"/>
      <c r="M530" s="155"/>
      <c r="N530" s="144"/>
      <c r="O530" s="144"/>
      <c r="P530" s="144"/>
      <c r="Q530" s="145"/>
      <c r="R530" s="145"/>
      <c r="S530" s="148"/>
      <c r="T530" s="147"/>
      <c r="U530" s="144"/>
      <c r="V530" s="144"/>
    </row>
    <row r="531" spans="1:22" ht="33.75" customHeight="1" x14ac:dyDescent="0.15">
      <c r="A531" s="144"/>
      <c r="B531" s="144"/>
      <c r="C531" s="145"/>
      <c r="D531" s="145"/>
      <c r="E531" s="148"/>
      <c r="F531" s="147"/>
      <c r="G531" s="144"/>
      <c r="H531" s="144"/>
      <c r="I531" s="144"/>
      <c r="J531" s="145"/>
      <c r="K531" s="145"/>
      <c r="L531" s="154"/>
      <c r="M531" s="155"/>
      <c r="N531" s="144"/>
      <c r="O531" s="144"/>
      <c r="P531" s="144"/>
      <c r="Q531" s="145"/>
      <c r="R531" s="145"/>
      <c r="S531" s="148"/>
      <c r="T531" s="147"/>
      <c r="U531" s="144"/>
      <c r="V531" s="144"/>
    </row>
    <row r="532" spans="1:22" ht="33.75" customHeight="1" x14ac:dyDescent="0.15">
      <c r="A532" s="144"/>
      <c r="B532" s="144"/>
      <c r="C532" s="145"/>
      <c r="D532" s="145"/>
      <c r="E532" s="148"/>
      <c r="F532" s="147"/>
      <c r="G532" s="144"/>
      <c r="H532" s="144"/>
      <c r="I532" s="144"/>
      <c r="J532" s="145"/>
      <c r="K532" s="145"/>
      <c r="L532" s="154"/>
      <c r="M532" s="155"/>
      <c r="N532" s="144"/>
      <c r="O532" s="144"/>
      <c r="P532" s="144"/>
      <c r="Q532" s="145"/>
      <c r="R532" s="145"/>
      <c r="S532" s="148"/>
      <c r="T532" s="147"/>
      <c r="U532" s="144"/>
      <c r="V532" s="144"/>
    </row>
    <row r="533" spans="1:22" ht="33.75" customHeight="1" x14ac:dyDescent="0.15">
      <c r="A533" s="144"/>
      <c r="B533" s="144"/>
      <c r="C533" s="145"/>
      <c r="D533" s="145"/>
      <c r="E533" s="148"/>
      <c r="F533" s="147"/>
      <c r="G533" s="144"/>
      <c r="H533" s="144"/>
      <c r="I533" s="144"/>
      <c r="J533" s="145"/>
      <c r="K533" s="145"/>
      <c r="L533" s="154"/>
      <c r="M533" s="155"/>
      <c r="N533" s="144"/>
      <c r="O533" s="144"/>
      <c r="P533" s="144"/>
      <c r="Q533" s="145"/>
      <c r="R533" s="145"/>
      <c r="S533" s="148"/>
      <c r="T533" s="147"/>
      <c r="U533" s="144"/>
      <c r="V533" s="144"/>
    </row>
    <row r="534" spans="1:22" ht="33.75" customHeight="1" x14ac:dyDescent="0.15">
      <c r="A534" s="144"/>
      <c r="B534" s="144"/>
      <c r="C534" s="145"/>
      <c r="D534" s="145"/>
      <c r="E534" s="148"/>
      <c r="F534" s="147"/>
      <c r="G534" s="144"/>
      <c r="H534" s="144"/>
      <c r="I534" s="144"/>
      <c r="J534" s="145"/>
      <c r="K534" s="145"/>
      <c r="L534" s="154"/>
      <c r="M534" s="155"/>
      <c r="N534" s="144"/>
      <c r="O534" s="144"/>
      <c r="P534" s="144"/>
      <c r="Q534" s="145"/>
      <c r="R534" s="145"/>
      <c r="S534" s="148"/>
      <c r="T534" s="147"/>
      <c r="U534" s="144"/>
      <c r="V534" s="144"/>
    </row>
    <row r="535" spans="1:22" ht="33.75" customHeight="1" x14ac:dyDescent="0.15">
      <c r="A535" s="144"/>
      <c r="B535" s="144"/>
      <c r="C535" s="145"/>
      <c r="D535" s="145"/>
      <c r="E535" s="148"/>
      <c r="F535" s="147"/>
      <c r="G535" s="144"/>
      <c r="H535" s="144"/>
      <c r="I535" s="144"/>
      <c r="J535" s="145"/>
      <c r="K535" s="145"/>
      <c r="L535" s="154"/>
      <c r="M535" s="155"/>
      <c r="N535" s="144"/>
      <c r="O535" s="144"/>
      <c r="P535" s="144"/>
      <c r="Q535" s="145"/>
      <c r="R535" s="145"/>
      <c r="S535" s="148"/>
      <c r="T535" s="147"/>
      <c r="U535" s="144"/>
      <c r="V535" s="144"/>
    </row>
    <row r="536" spans="1:22" ht="33.75" customHeight="1" x14ac:dyDescent="0.15">
      <c r="A536" s="144"/>
      <c r="B536" s="144"/>
      <c r="C536" s="145"/>
      <c r="D536" s="145"/>
      <c r="E536" s="148"/>
      <c r="F536" s="147"/>
      <c r="G536" s="144"/>
      <c r="H536" s="144"/>
      <c r="I536" s="144"/>
      <c r="J536" s="145"/>
      <c r="K536" s="145"/>
      <c r="L536" s="154"/>
      <c r="M536" s="155"/>
      <c r="N536" s="144"/>
      <c r="O536" s="144"/>
      <c r="P536" s="144"/>
      <c r="Q536" s="145"/>
      <c r="R536" s="145"/>
      <c r="S536" s="148"/>
      <c r="T536" s="147"/>
      <c r="U536" s="144"/>
      <c r="V536" s="144"/>
    </row>
    <row r="537" spans="1:22" ht="33.75" customHeight="1" x14ac:dyDescent="0.15">
      <c r="A537" s="144"/>
      <c r="B537" s="144"/>
      <c r="C537" s="145"/>
      <c r="D537" s="145"/>
      <c r="E537" s="148"/>
      <c r="F537" s="147"/>
      <c r="G537" s="144"/>
      <c r="H537" s="144"/>
      <c r="I537" s="144"/>
      <c r="J537" s="145"/>
      <c r="K537" s="145"/>
      <c r="L537" s="154"/>
      <c r="M537" s="155"/>
      <c r="N537" s="144"/>
      <c r="O537" s="144"/>
      <c r="P537" s="144"/>
      <c r="Q537" s="145"/>
      <c r="R537" s="145"/>
      <c r="S537" s="148"/>
      <c r="T537" s="147"/>
      <c r="U537" s="144"/>
      <c r="V537" s="144"/>
    </row>
    <row r="538" spans="1:22" ht="33.75" customHeight="1" x14ac:dyDescent="0.15">
      <c r="A538" s="144"/>
      <c r="B538" s="144"/>
      <c r="C538" s="145"/>
      <c r="D538" s="145"/>
      <c r="E538" s="148"/>
      <c r="F538" s="147"/>
      <c r="G538" s="144"/>
      <c r="H538" s="144"/>
      <c r="I538" s="144"/>
      <c r="J538" s="145"/>
      <c r="K538" s="145"/>
      <c r="L538" s="154"/>
      <c r="M538" s="155"/>
      <c r="N538" s="144"/>
      <c r="O538" s="144"/>
      <c r="P538" s="144"/>
      <c r="Q538" s="145"/>
      <c r="R538" s="145"/>
      <c r="S538" s="148"/>
      <c r="T538" s="147"/>
      <c r="U538" s="144"/>
      <c r="V538" s="144"/>
    </row>
    <row r="539" spans="1:22" ht="33.75" customHeight="1" x14ac:dyDescent="0.15">
      <c r="A539" s="144"/>
      <c r="B539" s="144"/>
      <c r="C539" s="145"/>
      <c r="D539" s="145"/>
      <c r="E539" s="148"/>
      <c r="F539" s="147"/>
      <c r="G539" s="144"/>
      <c r="H539" s="144"/>
      <c r="I539" s="144"/>
      <c r="J539" s="145"/>
      <c r="K539" s="145"/>
      <c r="L539" s="154"/>
      <c r="M539" s="155"/>
      <c r="N539" s="144"/>
      <c r="O539" s="144"/>
      <c r="P539" s="144"/>
      <c r="Q539" s="145"/>
      <c r="R539" s="145"/>
      <c r="S539" s="148"/>
      <c r="T539" s="147"/>
      <c r="U539" s="144"/>
      <c r="V539" s="144"/>
    </row>
    <row r="540" spans="1:22" ht="33.75" customHeight="1" x14ac:dyDescent="0.15">
      <c r="A540" s="144"/>
      <c r="B540" s="144"/>
      <c r="C540" s="145"/>
      <c r="D540" s="145"/>
      <c r="E540" s="148"/>
      <c r="F540" s="147"/>
      <c r="G540" s="144"/>
      <c r="H540" s="144"/>
      <c r="I540" s="144"/>
      <c r="J540" s="145"/>
      <c r="K540" s="145"/>
      <c r="L540" s="154"/>
      <c r="M540" s="155"/>
      <c r="N540" s="144"/>
      <c r="O540" s="144"/>
      <c r="P540" s="144"/>
      <c r="Q540" s="145"/>
      <c r="R540" s="145"/>
      <c r="S540" s="148"/>
      <c r="T540" s="147"/>
      <c r="U540" s="144"/>
      <c r="V540" s="144"/>
    </row>
    <row r="541" spans="1:22" ht="33.75" customHeight="1" x14ac:dyDescent="0.15">
      <c r="A541" s="144"/>
      <c r="B541" s="144"/>
      <c r="C541" s="145"/>
      <c r="D541" s="145"/>
      <c r="E541" s="148"/>
      <c r="F541" s="147"/>
      <c r="G541" s="144"/>
      <c r="H541" s="144"/>
      <c r="I541" s="144"/>
      <c r="J541" s="145"/>
      <c r="K541" s="145"/>
      <c r="L541" s="154"/>
      <c r="M541" s="155"/>
      <c r="N541" s="144"/>
      <c r="O541" s="144"/>
      <c r="P541" s="144"/>
      <c r="Q541" s="145"/>
      <c r="R541" s="145"/>
      <c r="S541" s="148"/>
      <c r="T541" s="147"/>
      <c r="U541" s="144"/>
      <c r="V541" s="144"/>
    </row>
    <row r="542" spans="1:22" ht="33.75" customHeight="1" x14ac:dyDescent="0.15">
      <c r="A542" s="144"/>
      <c r="B542" s="144"/>
      <c r="C542" s="145"/>
      <c r="D542" s="145"/>
      <c r="E542" s="148"/>
      <c r="F542" s="147"/>
      <c r="G542" s="144"/>
      <c r="H542" s="144"/>
      <c r="I542" s="144"/>
      <c r="J542" s="145"/>
      <c r="K542" s="145"/>
      <c r="L542" s="154"/>
      <c r="M542" s="155"/>
      <c r="N542" s="144"/>
      <c r="O542" s="144"/>
      <c r="P542" s="144"/>
      <c r="Q542" s="145"/>
      <c r="R542" s="145"/>
      <c r="S542" s="148"/>
      <c r="T542" s="147"/>
      <c r="U542" s="144"/>
      <c r="V542" s="144"/>
    </row>
    <row r="543" spans="1:22" ht="33.75" customHeight="1" x14ac:dyDescent="0.15">
      <c r="A543" s="144"/>
      <c r="B543" s="144"/>
      <c r="C543" s="145"/>
      <c r="D543" s="145"/>
      <c r="E543" s="148"/>
      <c r="F543" s="147"/>
      <c r="G543" s="144"/>
      <c r="H543" s="144"/>
      <c r="I543" s="144"/>
      <c r="J543" s="145"/>
      <c r="K543" s="145"/>
      <c r="L543" s="154"/>
      <c r="M543" s="155"/>
      <c r="N543" s="144"/>
      <c r="O543" s="144"/>
      <c r="P543" s="144"/>
      <c r="Q543" s="145"/>
      <c r="R543" s="145"/>
      <c r="S543" s="148"/>
      <c r="T543" s="147"/>
      <c r="U543" s="144"/>
      <c r="V543" s="144"/>
    </row>
    <row r="544" spans="1:22" ht="33.75" customHeight="1" x14ac:dyDescent="0.15">
      <c r="A544" s="144"/>
      <c r="B544" s="144"/>
      <c r="C544" s="145"/>
      <c r="D544" s="145"/>
      <c r="E544" s="148"/>
      <c r="F544" s="147"/>
      <c r="G544" s="144"/>
      <c r="H544" s="144"/>
      <c r="I544" s="144"/>
      <c r="J544" s="145"/>
      <c r="K544" s="145"/>
      <c r="L544" s="154"/>
      <c r="M544" s="155"/>
      <c r="N544" s="144"/>
      <c r="O544" s="144"/>
      <c r="P544" s="144"/>
      <c r="Q544" s="145"/>
      <c r="R544" s="145"/>
      <c r="S544" s="148"/>
      <c r="T544" s="147"/>
      <c r="U544" s="144"/>
      <c r="V544" s="144"/>
    </row>
    <row r="545" spans="1:22" ht="33.75" customHeight="1" x14ac:dyDescent="0.15">
      <c r="A545" s="144"/>
      <c r="B545" s="144"/>
      <c r="C545" s="145"/>
      <c r="D545" s="145"/>
      <c r="E545" s="148"/>
      <c r="F545" s="147"/>
      <c r="G545" s="144"/>
      <c r="H545" s="144"/>
      <c r="I545" s="144"/>
      <c r="J545" s="145"/>
      <c r="K545" s="145"/>
      <c r="L545" s="154"/>
      <c r="M545" s="155"/>
      <c r="N545" s="144"/>
      <c r="O545" s="144"/>
      <c r="P545" s="144"/>
      <c r="Q545" s="145"/>
      <c r="R545" s="145"/>
      <c r="S545" s="148"/>
      <c r="T545" s="147"/>
      <c r="U545" s="144"/>
      <c r="V545" s="144"/>
    </row>
    <row r="546" spans="1:22" ht="33.75" customHeight="1" x14ac:dyDescent="0.15">
      <c r="A546" s="144"/>
      <c r="B546" s="144"/>
      <c r="C546" s="145"/>
      <c r="D546" s="145"/>
      <c r="E546" s="148"/>
      <c r="F546" s="147"/>
      <c r="G546" s="144"/>
      <c r="H546" s="144"/>
      <c r="I546" s="144"/>
      <c r="J546" s="145"/>
      <c r="K546" s="145"/>
      <c r="L546" s="154"/>
      <c r="M546" s="155"/>
      <c r="N546" s="144"/>
      <c r="O546" s="144"/>
      <c r="P546" s="144"/>
      <c r="Q546" s="145"/>
      <c r="R546" s="145"/>
      <c r="S546" s="148"/>
      <c r="T546" s="147"/>
      <c r="U546" s="144"/>
      <c r="V546" s="144"/>
    </row>
    <row r="547" spans="1:22" ht="33.75" customHeight="1" x14ac:dyDescent="0.15">
      <c r="A547" s="144"/>
      <c r="B547" s="144"/>
      <c r="C547" s="145"/>
      <c r="D547" s="145"/>
      <c r="E547" s="148"/>
      <c r="F547" s="147"/>
      <c r="G547" s="144"/>
      <c r="H547" s="144"/>
      <c r="I547" s="144"/>
      <c r="J547" s="145"/>
      <c r="K547" s="145"/>
      <c r="L547" s="154"/>
      <c r="M547" s="155"/>
      <c r="N547" s="144"/>
      <c r="O547" s="144"/>
      <c r="P547" s="144"/>
      <c r="Q547" s="145"/>
      <c r="R547" s="145"/>
      <c r="S547" s="148"/>
      <c r="T547" s="147"/>
      <c r="U547" s="144"/>
      <c r="V547" s="144"/>
    </row>
    <row r="548" spans="1:22" ht="33.75" customHeight="1" x14ac:dyDescent="0.15">
      <c r="A548" s="144"/>
      <c r="B548" s="144"/>
      <c r="C548" s="145"/>
      <c r="D548" s="145"/>
      <c r="E548" s="148"/>
      <c r="F548" s="147"/>
      <c r="G548" s="144"/>
      <c r="H548" s="144"/>
      <c r="I548" s="144"/>
      <c r="J548" s="145"/>
      <c r="K548" s="145"/>
      <c r="L548" s="154"/>
      <c r="M548" s="155"/>
      <c r="N548" s="144"/>
      <c r="O548" s="144"/>
      <c r="P548" s="144"/>
      <c r="Q548" s="145"/>
      <c r="R548" s="145"/>
      <c r="S548" s="148"/>
      <c r="T548" s="147"/>
      <c r="U548" s="144"/>
      <c r="V548" s="144"/>
    </row>
    <row r="549" spans="1:22" ht="33.75" customHeight="1" x14ac:dyDescent="0.15">
      <c r="A549" s="144"/>
      <c r="B549" s="144"/>
      <c r="C549" s="145"/>
      <c r="D549" s="145"/>
      <c r="E549" s="148"/>
      <c r="F549" s="147"/>
      <c r="G549" s="144"/>
      <c r="H549" s="144"/>
      <c r="I549" s="144"/>
      <c r="J549" s="145"/>
      <c r="K549" s="145"/>
      <c r="L549" s="154"/>
      <c r="M549" s="155"/>
      <c r="N549" s="144"/>
      <c r="O549" s="144"/>
      <c r="P549" s="144"/>
      <c r="Q549" s="145"/>
      <c r="R549" s="145"/>
      <c r="S549" s="148"/>
      <c r="T549" s="147"/>
      <c r="U549" s="144"/>
      <c r="V549" s="144"/>
    </row>
    <row r="550" spans="1:22" ht="33.75" customHeight="1" x14ac:dyDescent="0.15">
      <c r="A550" s="144"/>
      <c r="B550" s="144"/>
      <c r="C550" s="145"/>
      <c r="D550" s="145"/>
      <c r="E550" s="148"/>
      <c r="F550" s="147"/>
      <c r="G550" s="144"/>
      <c r="H550" s="144"/>
      <c r="I550" s="144"/>
      <c r="J550" s="145"/>
      <c r="K550" s="145"/>
      <c r="L550" s="154"/>
      <c r="M550" s="155"/>
      <c r="N550" s="144"/>
      <c r="O550" s="144"/>
      <c r="P550" s="144"/>
      <c r="Q550" s="145"/>
      <c r="R550" s="145"/>
      <c r="S550" s="148"/>
      <c r="T550" s="147"/>
      <c r="U550" s="144"/>
      <c r="V550" s="144"/>
    </row>
    <row r="551" spans="1:22" ht="33.75" customHeight="1" x14ac:dyDescent="0.15">
      <c r="A551" s="144"/>
      <c r="B551" s="144"/>
      <c r="C551" s="145"/>
      <c r="D551" s="145"/>
      <c r="E551" s="148"/>
      <c r="F551" s="147"/>
      <c r="G551" s="144"/>
      <c r="H551" s="144"/>
      <c r="I551" s="144"/>
      <c r="J551" s="145"/>
      <c r="K551" s="145"/>
      <c r="L551" s="154"/>
      <c r="M551" s="155"/>
      <c r="N551" s="144"/>
      <c r="O551" s="144"/>
      <c r="P551" s="144"/>
      <c r="Q551" s="145"/>
      <c r="R551" s="145"/>
      <c r="S551" s="148"/>
      <c r="T551" s="147"/>
      <c r="U551" s="144"/>
      <c r="V551" s="144"/>
    </row>
    <row r="552" spans="1:22" ht="33.75" customHeight="1" x14ac:dyDescent="0.15">
      <c r="A552" s="144"/>
      <c r="B552" s="144"/>
      <c r="C552" s="145"/>
      <c r="D552" s="145"/>
      <c r="E552" s="148"/>
      <c r="F552" s="147"/>
      <c r="G552" s="144"/>
      <c r="H552" s="144"/>
      <c r="I552" s="144"/>
      <c r="J552" s="145"/>
      <c r="K552" s="145"/>
      <c r="L552" s="154"/>
      <c r="M552" s="155"/>
      <c r="N552" s="144"/>
      <c r="O552" s="144"/>
      <c r="P552" s="144"/>
      <c r="Q552" s="145"/>
      <c r="R552" s="145"/>
      <c r="S552" s="148"/>
      <c r="T552" s="147"/>
      <c r="U552" s="144"/>
      <c r="V552" s="144"/>
    </row>
    <row r="553" spans="1:22" ht="33.75" customHeight="1" x14ac:dyDescent="0.15">
      <c r="A553" s="144"/>
      <c r="B553" s="144"/>
      <c r="C553" s="145"/>
      <c r="D553" s="145"/>
      <c r="E553" s="148"/>
      <c r="F553" s="147"/>
      <c r="G553" s="144"/>
      <c r="H553" s="144"/>
      <c r="I553" s="144"/>
      <c r="J553" s="145"/>
      <c r="K553" s="145"/>
      <c r="L553" s="154"/>
      <c r="M553" s="155"/>
      <c r="N553" s="144"/>
      <c r="O553" s="144"/>
      <c r="P553" s="144"/>
      <c r="Q553" s="145"/>
      <c r="R553" s="145"/>
      <c r="S553" s="148"/>
      <c r="T553" s="147"/>
      <c r="U553" s="144"/>
      <c r="V553" s="144"/>
    </row>
    <row r="554" spans="1:22" ht="33.75" customHeight="1" x14ac:dyDescent="0.15">
      <c r="A554" s="144"/>
      <c r="B554" s="144"/>
      <c r="C554" s="145"/>
      <c r="D554" s="145"/>
      <c r="E554" s="148"/>
      <c r="F554" s="147"/>
      <c r="G554" s="144"/>
      <c r="H554" s="144"/>
      <c r="I554" s="144"/>
      <c r="J554" s="145"/>
      <c r="K554" s="145"/>
      <c r="L554" s="154"/>
      <c r="M554" s="155"/>
      <c r="N554" s="144"/>
      <c r="O554" s="144"/>
      <c r="P554" s="144"/>
      <c r="Q554" s="145"/>
      <c r="R554" s="145"/>
      <c r="S554" s="148"/>
      <c r="T554" s="147"/>
      <c r="U554" s="144"/>
      <c r="V554" s="144"/>
    </row>
    <row r="555" spans="1:22" ht="33.75" customHeight="1" x14ac:dyDescent="0.15">
      <c r="A555" s="144"/>
      <c r="B555" s="144"/>
      <c r="C555" s="145"/>
      <c r="D555" s="145"/>
      <c r="E555" s="148"/>
      <c r="F555" s="147"/>
      <c r="G555" s="144"/>
      <c r="H555" s="144"/>
      <c r="I555" s="144"/>
      <c r="J555" s="145"/>
      <c r="K555" s="145"/>
      <c r="L555" s="154"/>
      <c r="M555" s="155"/>
      <c r="N555" s="144"/>
      <c r="O555" s="144"/>
      <c r="P555" s="144"/>
      <c r="Q555" s="145"/>
      <c r="R555" s="145"/>
      <c r="S555" s="148"/>
      <c r="T555" s="147"/>
      <c r="U555" s="144"/>
      <c r="V555" s="144"/>
    </row>
    <row r="556" spans="1:22" ht="33.75" customHeight="1" x14ac:dyDescent="0.15">
      <c r="A556" s="144"/>
      <c r="B556" s="144"/>
      <c r="C556" s="145"/>
      <c r="D556" s="145"/>
      <c r="E556" s="148"/>
      <c r="F556" s="147"/>
      <c r="G556" s="144"/>
      <c r="H556" s="144"/>
      <c r="I556" s="144"/>
      <c r="J556" s="145"/>
      <c r="K556" s="145"/>
      <c r="L556" s="154"/>
      <c r="M556" s="155"/>
      <c r="N556" s="144"/>
      <c r="O556" s="144"/>
      <c r="P556" s="144"/>
      <c r="Q556" s="145"/>
      <c r="R556" s="145"/>
      <c r="S556" s="148"/>
      <c r="T556" s="147"/>
      <c r="U556" s="144"/>
      <c r="V556" s="144"/>
    </row>
    <row r="557" spans="1:22" ht="33.75" customHeight="1" x14ac:dyDescent="0.15">
      <c r="A557" s="144"/>
      <c r="B557" s="144"/>
      <c r="C557" s="145"/>
      <c r="D557" s="145"/>
      <c r="E557" s="148"/>
      <c r="F557" s="147"/>
      <c r="G557" s="144"/>
      <c r="H557" s="144"/>
      <c r="I557" s="144"/>
      <c r="J557" s="145"/>
      <c r="K557" s="145"/>
      <c r="L557" s="154"/>
      <c r="M557" s="155"/>
      <c r="N557" s="144"/>
      <c r="O557" s="144"/>
      <c r="P557" s="144"/>
      <c r="Q557" s="145"/>
      <c r="R557" s="145"/>
      <c r="S557" s="148"/>
      <c r="T557" s="147"/>
      <c r="U557" s="144"/>
      <c r="V557" s="144"/>
    </row>
    <row r="558" spans="1:22" ht="33.75" customHeight="1" x14ac:dyDescent="0.15">
      <c r="A558" s="144"/>
      <c r="B558" s="144"/>
      <c r="C558" s="145"/>
      <c r="D558" s="145"/>
      <c r="E558" s="148"/>
      <c r="F558" s="147"/>
      <c r="G558" s="144"/>
      <c r="H558" s="144"/>
      <c r="I558" s="144"/>
      <c r="J558" s="145"/>
      <c r="K558" s="145"/>
      <c r="L558" s="154"/>
      <c r="M558" s="155"/>
      <c r="N558" s="144"/>
      <c r="O558" s="144"/>
      <c r="P558" s="144"/>
      <c r="Q558" s="145"/>
      <c r="R558" s="145"/>
      <c r="S558" s="148"/>
      <c r="T558" s="147"/>
      <c r="U558" s="144"/>
      <c r="V558" s="144"/>
    </row>
    <row r="559" spans="1:22" ht="33.75" customHeight="1" x14ac:dyDescent="0.15">
      <c r="A559" s="144"/>
      <c r="B559" s="144"/>
      <c r="C559" s="145"/>
      <c r="D559" s="145"/>
      <c r="E559" s="148"/>
      <c r="F559" s="147"/>
      <c r="G559" s="144"/>
      <c r="H559" s="144"/>
      <c r="I559" s="144"/>
      <c r="J559" s="145"/>
      <c r="K559" s="145"/>
      <c r="L559" s="154"/>
      <c r="M559" s="155"/>
      <c r="N559" s="144"/>
      <c r="O559" s="144"/>
      <c r="P559" s="144"/>
      <c r="Q559" s="145"/>
      <c r="R559" s="145"/>
      <c r="S559" s="148"/>
      <c r="T559" s="147"/>
      <c r="U559" s="144"/>
      <c r="V559" s="144"/>
    </row>
    <row r="560" spans="1:22" ht="33.75" customHeight="1" x14ac:dyDescent="0.15">
      <c r="A560" s="144"/>
      <c r="B560" s="144"/>
      <c r="C560" s="145"/>
      <c r="D560" s="145"/>
      <c r="E560" s="148"/>
      <c r="F560" s="147"/>
      <c r="G560" s="144"/>
      <c r="H560" s="144"/>
      <c r="I560" s="144"/>
      <c r="J560" s="145"/>
      <c r="K560" s="145"/>
      <c r="L560" s="154"/>
      <c r="M560" s="155"/>
      <c r="N560" s="144"/>
      <c r="O560" s="144"/>
      <c r="P560" s="144"/>
      <c r="Q560" s="145"/>
      <c r="R560" s="145"/>
      <c r="S560" s="148"/>
      <c r="T560" s="147"/>
      <c r="U560" s="144"/>
      <c r="V560" s="144"/>
    </row>
    <row r="561" spans="1:22" ht="33.75" customHeight="1" x14ac:dyDescent="0.15">
      <c r="A561" s="144"/>
      <c r="B561" s="144"/>
      <c r="C561" s="145"/>
      <c r="D561" s="145"/>
      <c r="E561" s="148"/>
      <c r="F561" s="147"/>
      <c r="G561" s="144"/>
      <c r="H561" s="144"/>
      <c r="I561" s="144"/>
      <c r="J561" s="145"/>
      <c r="K561" s="145"/>
      <c r="L561" s="154"/>
      <c r="M561" s="155"/>
      <c r="N561" s="144"/>
      <c r="O561" s="144"/>
      <c r="P561" s="144"/>
      <c r="Q561" s="145"/>
      <c r="R561" s="145"/>
      <c r="S561" s="148"/>
      <c r="T561" s="147"/>
      <c r="U561" s="144"/>
      <c r="V561" s="144"/>
    </row>
    <row r="562" spans="1:22" ht="33.75" customHeight="1" x14ac:dyDescent="0.15">
      <c r="A562" s="144"/>
      <c r="B562" s="144"/>
      <c r="C562" s="145"/>
      <c r="D562" s="145"/>
      <c r="E562" s="148"/>
      <c r="F562" s="147"/>
      <c r="G562" s="144"/>
      <c r="H562" s="144"/>
      <c r="I562" s="144"/>
      <c r="J562" s="145"/>
      <c r="K562" s="145"/>
      <c r="L562" s="154"/>
      <c r="M562" s="155"/>
      <c r="N562" s="144"/>
      <c r="O562" s="144"/>
      <c r="P562" s="144"/>
      <c r="Q562" s="145"/>
      <c r="R562" s="145"/>
      <c r="S562" s="148"/>
      <c r="T562" s="147"/>
      <c r="U562" s="144"/>
      <c r="V562" s="144"/>
    </row>
    <row r="563" spans="1:22" ht="33.75" customHeight="1" x14ac:dyDescent="0.15">
      <c r="A563" s="144"/>
      <c r="B563" s="144"/>
      <c r="C563" s="145"/>
      <c r="D563" s="145"/>
      <c r="E563" s="148"/>
      <c r="F563" s="147"/>
      <c r="G563" s="144"/>
      <c r="H563" s="144"/>
      <c r="I563" s="144"/>
      <c r="J563" s="145"/>
      <c r="K563" s="145"/>
      <c r="L563" s="154"/>
      <c r="M563" s="155"/>
      <c r="N563" s="144"/>
      <c r="O563" s="144"/>
      <c r="P563" s="144"/>
      <c r="Q563" s="145"/>
      <c r="R563" s="145"/>
      <c r="S563" s="148"/>
      <c r="T563" s="147"/>
      <c r="U563" s="144"/>
      <c r="V563" s="144"/>
    </row>
    <row r="564" spans="1:22" ht="33.75" customHeight="1" x14ac:dyDescent="0.15">
      <c r="A564" s="144"/>
      <c r="B564" s="144"/>
      <c r="C564" s="145"/>
      <c r="D564" s="145"/>
      <c r="E564" s="148"/>
      <c r="F564" s="147"/>
      <c r="G564" s="144"/>
      <c r="H564" s="144"/>
      <c r="I564" s="144"/>
      <c r="J564" s="145"/>
      <c r="K564" s="145"/>
      <c r="L564" s="154"/>
      <c r="M564" s="155"/>
      <c r="N564" s="144"/>
      <c r="O564" s="144"/>
      <c r="P564" s="144"/>
      <c r="Q564" s="145"/>
      <c r="R564" s="145"/>
      <c r="S564" s="148"/>
      <c r="T564" s="147"/>
      <c r="U564" s="144"/>
      <c r="V564" s="144"/>
    </row>
    <row r="565" spans="1:22" ht="33.75" customHeight="1" x14ac:dyDescent="0.15">
      <c r="A565" s="144"/>
      <c r="B565" s="144"/>
      <c r="C565" s="145"/>
      <c r="D565" s="145"/>
      <c r="E565" s="148"/>
      <c r="F565" s="147"/>
      <c r="G565" s="144"/>
      <c r="H565" s="144"/>
      <c r="I565" s="144"/>
      <c r="J565" s="145"/>
      <c r="K565" s="145"/>
      <c r="L565" s="154"/>
      <c r="M565" s="155"/>
      <c r="N565" s="144"/>
      <c r="O565" s="144"/>
      <c r="P565" s="144"/>
      <c r="Q565" s="145"/>
      <c r="R565" s="145"/>
      <c r="S565" s="148"/>
      <c r="T565" s="147"/>
      <c r="U565" s="144"/>
      <c r="V565" s="144"/>
    </row>
    <row r="566" spans="1:22" ht="33.75" customHeight="1" x14ac:dyDescent="0.15">
      <c r="A566" s="144"/>
      <c r="B566" s="144"/>
      <c r="C566" s="145"/>
      <c r="D566" s="145"/>
      <c r="E566" s="148"/>
      <c r="F566" s="147"/>
      <c r="G566" s="144"/>
      <c r="H566" s="144"/>
      <c r="I566" s="144"/>
      <c r="J566" s="145"/>
      <c r="K566" s="145"/>
      <c r="L566" s="154"/>
      <c r="M566" s="155"/>
      <c r="N566" s="144"/>
      <c r="O566" s="144"/>
      <c r="P566" s="144"/>
      <c r="Q566" s="145"/>
      <c r="R566" s="145"/>
      <c r="S566" s="148"/>
      <c r="T566" s="147"/>
      <c r="U566" s="144"/>
      <c r="V566" s="144"/>
    </row>
    <row r="567" spans="1:22" ht="33.75" customHeight="1" x14ac:dyDescent="0.15">
      <c r="A567" s="144"/>
      <c r="B567" s="144"/>
      <c r="C567" s="145"/>
      <c r="D567" s="145"/>
      <c r="E567" s="148"/>
      <c r="F567" s="147"/>
      <c r="G567" s="144"/>
      <c r="H567" s="144"/>
      <c r="I567" s="144"/>
      <c r="J567" s="145"/>
      <c r="K567" s="145"/>
      <c r="L567" s="154"/>
      <c r="M567" s="155"/>
      <c r="N567" s="144"/>
      <c r="O567" s="144"/>
      <c r="P567" s="144"/>
      <c r="Q567" s="145"/>
      <c r="R567" s="145"/>
      <c r="S567" s="148"/>
      <c r="T567" s="147"/>
      <c r="U567" s="144"/>
      <c r="V567" s="144"/>
    </row>
    <row r="568" spans="1:22" ht="33.75" customHeight="1" x14ac:dyDescent="0.15">
      <c r="A568" s="144"/>
      <c r="B568" s="144"/>
      <c r="C568" s="145"/>
      <c r="D568" s="145"/>
      <c r="E568" s="148"/>
      <c r="F568" s="147"/>
      <c r="G568" s="144"/>
      <c r="H568" s="144"/>
      <c r="I568" s="144"/>
      <c r="J568" s="145"/>
      <c r="K568" s="145"/>
      <c r="L568" s="154"/>
      <c r="M568" s="155"/>
      <c r="N568" s="144"/>
      <c r="O568" s="144"/>
      <c r="P568" s="144"/>
      <c r="Q568" s="145"/>
      <c r="R568" s="145"/>
      <c r="S568" s="148"/>
      <c r="T568" s="147"/>
      <c r="U568" s="144"/>
      <c r="V568" s="144"/>
    </row>
    <row r="569" spans="1:22" ht="33.75" customHeight="1" x14ac:dyDescent="0.15">
      <c r="A569" s="144"/>
      <c r="B569" s="144"/>
      <c r="C569" s="145"/>
      <c r="D569" s="145"/>
      <c r="E569" s="148"/>
      <c r="F569" s="147"/>
      <c r="G569" s="144"/>
      <c r="H569" s="144"/>
      <c r="I569" s="144"/>
      <c r="J569" s="145"/>
      <c r="K569" s="145"/>
      <c r="L569" s="154"/>
      <c r="M569" s="155"/>
      <c r="N569" s="144"/>
      <c r="O569" s="144"/>
      <c r="P569" s="144"/>
      <c r="Q569" s="145"/>
      <c r="R569" s="145"/>
      <c r="S569" s="148"/>
      <c r="T569" s="147"/>
      <c r="U569" s="144"/>
      <c r="V569" s="144"/>
    </row>
    <row r="570" spans="1:22" ht="33.75" customHeight="1" x14ac:dyDescent="0.15">
      <c r="A570" s="144"/>
      <c r="B570" s="144"/>
      <c r="C570" s="145"/>
      <c r="D570" s="145"/>
      <c r="E570" s="148"/>
      <c r="F570" s="147"/>
      <c r="G570" s="144"/>
      <c r="H570" s="144"/>
      <c r="I570" s="144"/>
      <c r="J570" s="145"/>
      <c r="K570" s="145"/>
      <c r="L570" s="154"/>
      <c r="M570" s="155"/>
      <c r="N570" s="144"/>
      <c r="O570" s="144"/>
      <c r="P570" s="144"/>
      <c r="Q570" s="145"/>
      <c r="R570" s="145"/>
      <c r="S570" s="148"/>
      <c r="T570" s="147"/>
      <c r="U570" s="144"/>
      <c r="V570" s="144"/>
    </row>
    <row r="571" spans="1:22" ht="33.75" customHeight="1" x14ac:dyDescent="0.15">
      <c r="A571" s="144"/>
      <c r="B571" s="144"/>
      <c r="C571" s="145"/>
      <c r="D571" s="145"/>
      <c r="E571" s="148"/>
      <c r="F571" s="147"/>
      <c r="G571" s="144"/>
      <c r="H571" s="144"/>
      <c r="I571" s="144"/>
      <c r="J571" s="145"/>
      <c r="K571" s="145"/>
      <c r="L571" s="154"/>
      <c r="M571" s="155"/>
      <c r="N571" s="144"/>
      <c r="O571" s="144"/>
      <c r="P571" s="144"/>
      <c r="Q571" s="145"/>
      <c r="R571" s="145"/>
      <c r="S571" s="148"/>
      <c r="T571" s="147"/>
      <c r="U571" s="144"/>
      <c r="V571" s="144"/>
    </row>
    <row r="572" spans="1:22" ht="33.75" customHeight="1" x14ac:dyDescent="0.15">
      <c r="A572" s="144"/>
      <c r="B572" s="144"/>
      <c r="C572" s="145"/>
      <c r="D572" s="145"/>
      <c r="E572" s="148"/>
      <c r="F572" s="147"/>
      <c r="G572" s="144"/>
      <c r="H572" s="144"/>
      <c r="I572" s="144"/>
      <c r="J572" s="145"/>
      <c r="K572" s="145"/>
      <c r="L572" s="154"/>
      <c r="M572" s="155"/>
      <c r="N572" s="144"/>
      <c r="O572" s="144"/>
      <c r="P572" s="144"/>
      <c r="Q572" s="145"/>
      <c r="R572" s="145"/>
      <c r="S572" s="148"/>
      <c r="T572" s="147"/>
      <c r="U572" s="144"/>
      <c r="V572" s="144"/>
    </row>
    <row r="573" spans="1:22" ht="33.75" customHeight="1" x14ac:dyDescent="0.15">
      <c r="A573" s="144"/>
      <c r="B573" s="144"/>
      <c r="C573" s="145"/>
      <c r="D573" s="145"/>
      <c r="E573" s="148"/>
      <c r="F573" s="147"/>
      <c r="G573" s="144"/>
      <c r="H573" s="144"/>
      <c r="I573" s="144"/>
      <c r="J573" s="145"/>
      <c r="K573" s="145"/>
      <c r="L573" s="154"/>
      <c r="M573" s="155"/>
      <c r="N573" s="144"/>
      <c r="O573" s="144"/>
      <c r="P573" s="144"/>
      <c r="Q573" s="145"/>
      <c r="R573" s="145"/>
      <c r="S573" s="148"/>
      <c r="T573" s="147"/>
      <c r="U573" s="144"/>
      <c r="V573" s="144"/>
    </row>
  </sheetData>
  <mergeCells count="9">
    <mergeCell ref="Q2:T2"/>
    <mergeCell ref="Q3:T3"/>
    <mergeCell ref="C1:F1"/>
    <mergeCell ref="J1:M1"/>
    <mergeCell ref="Q1:T1"/>
    <mergeCell ref="C2:F2"/>
    <mergeCell ref="J2:M2"/>
    <mergeCell ref="C3:F3"/>
    <mergeCell ref="J3:M3"/>
  </mergeCells>
  <hyperlinks>
    <hyperlink ref="E5" r:id="rId1" display="https://www.linkedin.com/learning/creating-a-product-centric-organization" xr:uid="{00000000-0004-0000-0A00-000000000000}"/>
    <hyperlink ref="F5" r:id="rId2" display="https://www.linkedin.com/learning/paths/become-a-business-operations-associate" xr:uid="{00000000-0004-0000-0A00-000001000000}"/>
    <hyperlink ref="L5" r:id="rId3" display="https://www.linkedin.com/learning/common-meeting-problems" xr:uid="{00000000-0004-0000-0A00-000002000000}"/>
    <hyperlink ref="M5" r:id="rId4" display="https://www.linkedin.com/learning/paths/improve-your-presentation-skills" xr:uid="{00000000-0004-0000-0A00-000003000000}"/>
    <hyperlink ref="S5" r:id="rId5" display="https://www.linkedin.com/learning/complex-project-tips-and-tricks" xr:uid="{00000000-0004-0000-0A00-000004000000}"/>
    <hyperlink ref="T5" r:id="rId6" display="https://www.linkedin.com/learning/paths/develop-your-project-management-skills" xr:uid="{00000000-0004-0000-0A00-000005000000}"/>
    <hyperlink ref="E6" r:id="rId7" display="https://www.linkedin.com/learning/organization-design" xr:uid="{00000000-0004-0000-0A00-000006000000}"/>
    <hyperlink ref="F6" r:id="rId8" display="https://www.linkedin.com/learning/paths/improve-processes-and-deliver-operational-excellence" xr:uid="{00000000-0004-0000-0A00-000007000000}"/>
    <hyperlink ref="L6" r:id="rId9" display="https://www.linkedin.com/learning/creating-a-meeting-agenda" xr:uid="{00000000-0004-0000-0A00-000008000000}"/>
    <hyperlink ref="M6" r:id="rId10" display="https://www.linkedin.com/learning/paths/master-microsoft-powerpoint" xr:uid="{00000000-0004-0000-0A00-000009000000}"/>
    <hyperlink ref="S6" r:id="rId11" display="https://www.linkedin.com/learning/basecamp-project-management-best-practices" xr:uid="{00000000-0004-0000-0A00-00000A000000}"/>
    <hyperlink ref="T6" r:id="rId12" display="https://www.linkedin.com/learning/paths/become-a-project-manager" xr:uid="{00000000-0004-0000-0A00-00000B000000}"/>
    <hyperlink ref="E7" r:id="rId13" display="https://www.linkedin.com/learning/devops-foundations-accelerating-continuous-delivery-in-the-enterprise" xr:uid="{00000000-0004-0000-0A00-00000C000000}"/>
    <hyperlink ref="F7" r:id="rId14" display="https://www.linkedin.com/learning/paths/becoming-a-six-sigma-black-belt" xr:uid="{00000000-0004-0000-0A00-00000D000000}"/>
    <hyperlink ref="L7" r:id="rId15" display="https://www.linkedin.com/learning/establishing-credibility-as-a-speaker" xr:uid="{00000000-0004-0000-0A00-00000E000000}"/>
    <hyperlink ref="M7" r:id="rId16" display="https://www.linkedin.com/learning/paths/visual-communication-for-business-professionals" xr:uid="{00000000-0004-0000-0A00-00000F000000}"/>
    <hyperlink ref="S7" r:id="rId17" display="https://www.linkedin.com/learning/project-management-for-creative-projects-3" xr:uid="{00000000-0004-0000-0A00-000010000000}"/>
    <hyperlink ref="T7" r:id="rId18" display="https://www.linkedin.com/learning/paths/become-a-project-coordinator" xr:uid="{00000000-0004-0000-0A00-000011000000}"/>
    <hyperlink ref="E8" r:id="rId19" display="https://www.linkedin.com/learning/microsoft-power-automate-advanced-business-automation" xr:uid="{00000000-0004-0000-0A00-000012000000}"/>
    <hyperlink ref="F8" r:id="rId20" display="https://www.linkedin.com/learning/paths/becoming-a-six-sigma-green-belt" xr:uid="{00000000-0004-0000-0A00-000013000000}"/>
    <hyperlink ref="L8" r:id="rId21" display="https://www.linkedin.com/learning/learning-powerpoint-2016-2" xr:uid="{00000000-0004-0000-0A00-000014000000}"/>
    <hyperlink ref="M8" r:id="rId22" display="https://www.linkedin.com/learning/paths/getting-started-with-microsoft-powerpoint" xr:uid="{00000000-0004-0000-0A00-000015000000}"/>
    <hyperlink ref="S8" r:id="rId23" display="https://www.linkedin.com/learning/becoming-an-agile-coach" xr:uid="{00000000-0004-0000-0A00-000016000000}"/>
    <hyperlink ref="T8" r:id="rId24" display="https://www.linkedin.com/learning/paths/become-a-project-scheduler" xr:uid="{00000000-0004-0000-0A00-000017000000}"/>
    <hyperlink ref="E9" r:id="rId25" display="https://www.linkedin.com/learning/mastering-organizational-chaos" xr:uid="{00000000-0004-0000-0A00-000018000000}"/>
    <hyperlink ref="F9" r:id="rId26" display="https://www.linkedin.com/learning/paths/build-a-privacy-program" xr:uid="{00000000-0004-0000-0A00-000019000000}"/>
    <hyperlink ref="L9" r:id="rId27" display="https://www.linkedin.com/learning/learning-powerpoint-2019" xr:uid="{00000000-0004-0000-0A00-00001A000000}"/>
    <hyperlink ref="M9" r:id="rId28" display="https://www.linkedin.com/learning/paths/visual-communication-for-business-professionals" xr:uid="{00000000-0004-0000-0A00-00001B000000}"/>
    <hyperlink ref="S9" r:id="rId29" display="https://www.linkedin.com/learning/project-management-foundations-4" xr:uid="{00000000-0004-0000-0A00-00001C000000}"/>
    <hyperlink ref="T9" r:id="rId30" display="https://www.linkedin.com/learning/paths/become-an-agile-project-manager" xr:uid="{00000000-0004-0000-0A00-00001D000000}"/>
    <hyperlink ref="E10" r:id="rId31" display="https://www.linkedin.com/learning/a3-problem-solving-for-continuous-improvement" xr:uid="{00000000-0004-0000-0A00-00001E000000}"/>
    <hyperlink ref="F10" r:id="rId32" display="https://www.linkedin.com/learning/paths/getting-started-with-microsoft-365" xr:uid="{00000000-0004-0000-0A00-00001F000000}"/>
    <hyperlink ref="L10" r:id="rId33" display="https://www.linkedin.com/learning/managing-meetings" xr:uid="{00000000-0004-0000-0A00-000020000000}"/>
    <hyperlink ref="S10" r:id="rId34" display="https://www.linkedin.com/learning/project-management-foundations-communication-3" xr:uid="{00000000-0004-0000-0A00-000021000000}"/>
    <hyperlink ref="T10" r:id="rId35" display="https://www.linkedin.com/learning/paths/becoming-a-six-sigma-green-belt" xr:uid="{00000000-0004-0000-0A00-000022000000}"/>
    <hyperlink ref="E11" r:id="rId36" display="https://www.linkedin.com/learning/cost-reduction-cut-costs-and-maximize-profits" xr:uid="{00000000-0004-0000-0A00-000023000000}"/>
    <hyperlink ref="F11" r:id="rId37" display="https://www.linkedin.com/learning/paths/stay-competitive-using-design-thinking" xr:uid="{00000000-0004-0000-0A00-000024000000}"/>
    <hyperlink ref="L11" r:id="rId38" display="https://www.linkedin.com/learning/overcoming-your-fear-of-public-speaking-2/become-a-confident-speaker" xr:uid="{00000000-0004-0000-0A00-000025000000}"/>
    <hyperlink ref="S11" r:id="rId39" display="https://www.linkedin.com/learning/project-management-foundations-integration-2" xr:uid="{00000000-0004-0000-0A00-000026000000}"/>
    <hyperlink ref="T11" r:id="rId40" display="https://www.linkedin.com/learning/paths/become-a-government-project-manager" xr:uid="{00000000-0004-0000-0A00-000027000000}"/>
    <hyperlink ref="E12" r:id="rId41" display="https://www.linkedin.com/learning/devops-foundations" xr:uid="{00000000-0004-0000-0A00-000028000000}"/>
    <hyperlink ref="F12" r:id="rId42" display="https://www.linkedin.com/learning/paths/become-a-six-sigma-yellow-belt" xr:uid="{00000000-0004-0000-0A00-000029000000}"/>
    <hyperlink ref="L12" r:id="rId43" display="https://www.linkedin.com/learning/public-speaking-foundations-2" xr:uid="{00000000-0004-0000-0A00-00002A000000}"/>
    <hyperlink ref="S12" r:id="rId44" display="https://www.linkedin.com/learning/project-management-foundations-quality" xr:uid="{00000000-0004-0000-0A00-00002B000000}"/>
    <hyperlink ref="T12" r:id="rId45" display="https://www.linkedin.com/learning/paths/become-a-healthcare-project-manager" xr:uid="{00000000-0004-0000-0A00-00002C000000}"/>
    <hyperlink ref="E13" r:id="rId46" display="https://www.linkedin.com/learning/inventory-management-foundations" xr:uid="{00000000-0004-0000-0A00-00002D000000}"/>
    <hyperlink ref="L13" r:id="rId47" display="https://www.linkedin.com/learning/running-a-design-business-presentation-skills" xr:uid="{00000000-0004-0000-0A00-00002E000000}"/>
    <hyperlink ref="S13" r:id="rId48" display="https://www.linkedin.com/learning/project-management-foundations-small-projects-2" xr:uid="{00000000-0004-0000-0A00-00002F000000}"/>
    <hyperlink ref="T13" r:id="rId49" display="https://www.linkedin.com/learning/paths/becoming-a-six-sigma-black-belt" xr:uid="{00000000-0004-0000-0A00-000030000000}"/>
    <hyperlink ref="E14" r:id="rId50" display="https://www.linkedin.com/learning/job-skills-supply-chain-and-operations" xr:uid="{00000000-0004-0000-0A00-000031000000}"/>
    <hyperlink ref="L14" r:id="rId51" display="https://www.linkedin.com/learning/own-your-voice-improve-presentations-and-executive-presence" xr:uid="{00000000-0004-0000-0A00-000032000000}"/>
    <hyperlink ref="S14" r:id="rId52" display="https://www.linkedin.com/learning/project-management-starts-with-laying-good-ground-rules" xr:uid="{00000000-0004-0000-0A00-000033000000}"/>
    <hyperlink ref="T14" r:id="rId53" display="https://www.linkedin.com/learning/paths/become-a-business-analyst" xr:uid="{00000000-0004-0000-0A00-000034000000}"/>
    <hyperlink ref="E15" r:id="rId54" display="https://www.linkedin.com/learning/lean-foundations" xr:uid="{00000000-0004-0000-0A00-000035000000}"/>
    <hyperlink ref="L15" r:id="rId55" display="https://www.linkedin.com/learning/public-speaking-energise-and-engage-your-audience" xr:uid="{00000000-0004-0000-0A00-000036000000}"/>
    <hyperlink ref="S15" r:id="rId56" display="https://www.linkedin.com/learning/project-management-preventing-scope-creep-2/deal-with-it" xr:uid="{00000000-0004-0000-0A00-000037000000}"/>
    <hyperlink ref="T15" r:id="rId57" display="https://www.linkedin.com/learning/paths/prepare-for-the-pmi-acp-certification" xr:uid="{00000000-0004-0000-0A00-000038000000}"/>
    <hyperlink ref="E16" r:id="rId58" display="https://www.linkedin.com/learning/lean-inventory-management" xr:uid="{00000000-0004-0000-0A00-000039000000}"/>
    <hyperlink ref="L16" r:id="rId59" display="https://www.linkedin.com/learning/presentation-tips-for-pitching-to-investors" xr:uid="{00000000-0004-0000-0A00-00003A000000}"/>
    <hyperlink ref="S16" r:id="rId60" display="https://www.linkedin.com/learning/project-management-foundations-ethics-2019" xr:uid="{00000000-0004-0000-0A00-00003B000000}"/>
    <hyperlink ref="T16" r:id="rId61" display="https://www.linkedin.com/learning/paths/become-a-technical-program-manager" xr:uid="{00000000-0004-0000-0A00-00003C000000}"/>
    <hyperlink ref="E17" r:id="rId62" display="https://www.linkedin.com/learning/lean-six-sigma-foundations" xr:uid="{00000000-0004-0000-0A00-00003D000000}"/>
    <hyperlink ref="L17" r:id="rId63" display="https://www.linkedin.com/learning/how-to-present-and-stay-on-point-2019" xr:uid="{00000000-0004-0000-0A00-00003E000000}"/>
    <hyperlink ref="S17" r:id="rId64" display="https://www.linkedin.com/learning/skilled-trades-resumes-and-portfolios" xr:uid="{00000000-0004-0000-0A00-00003F000000}"/>
    <hyperlink ref="T17" r:id="rId65" display="https://www.linkedin.com/learning/paths/become-a-program-manager" xr:uid="{00000000-0004-0000-0A00-000040000000}"/>
    <hyperlink ref="E18" r:id="rId66" display="https://www.linkedin.com/learning/operations-management-foundations" xr:uid="{00000000-0004-0000-0A00-000041000000}"/>
    <hyperlink ref="L18" r:id="rId67" display="https://www.linkedin.com/learning/using-video-to-convey-your-passion-and-personality" xr:uid="{00000000-0004-0000-0A00-000042000000}"/>
    <hyperlink ref="S18" r:id="rId68" display="https://www.linkedin.com/learning/project-management-foundations-requirements-2019" xr:uid="{00000000-0004-0000-0A00-000043000000}"/>
    <hyperlink ref="T18" r:id="rId69" display="https://www.linkedin.com/learning/paths/become-a-software-project-manager" xr:uid="{00000000-0004-0000-0A00-000044000000}"/>
    <hyperlink ref="E19" r:id="rId70" display="https://www.linkedin.com/learning/process-improvement-foundations" xr:uid="{00000000-0004-0000-0A00-000045000000}"/>
    <hyperlink ref="L19" r:id="rId71" display="https://www.linkedin.com/learning/how-to-project-vocal-confidence" xr:uid="{00000000-0004-0000-0A00-000046000000}"/>
    <hyperlink ref="S19" r:id="rId72" display="https://www.linkedin.com/learning/project-management-foundations-teams-2019" xr:uid="{00000000-0004-0000-0A00-000047000000}"/>
    <hyperlink ref="T19" r:id="rId73" display="https://www.linkedin.com/learning/paths/become-a-portfolio-manager" xr:uid="{00000000-0004-0000-0A00-000048000000}"/>
    <hyperlink ref="E20" r:id="rId74" display="https://www.linkedin.com/learning/simplifying-business-processes" xr:uid="{00000000-0004-0000-0A00-000049000000}"/>
    <hyperlink ref="L20" r:id="rId75" display="https://www.linkedin.com/learning/how-to-turn-your-entrepreneur-journey-into-a-successful-keynote-talk" xr:uid="{00000000-0004-0000-0A00-00004A000000}"/>
    <hyperlink ref="S20" r:id="rId76" display="https://www.linkedin.com/learning/software-project-management-foundations" xr:uid="{00000000-0004-0000-0A00-00004B000000}"/>
    <hyperlink ref="T20" r:id="rId77" display="https://www.linkedin.com/learning/paths/become-a-six-sigma-yellow-belt" xr:uid="{00000000-0004-0000-0A00-00004C000000}"/>
    <hyperlink ref="E21" r:id="rId78" display="https://www.linkedin.com/learning/supply-chain-foundations" xr:uid="{00000000-0004-0000-0A00-00004D000000}"/>
    <hyperlink ref="L21" r:id="rId79" display="https://www.linkedin.com/learning/speaking-confidently-and-effectively" xr:uid="{00000000-0004-0000-0A00-00004E000000}"/>
    <hyperlink ref="S21" r:id="rId80" display="https://www.linkedin.com/learning/project-management-simplified-2019" xr:uid="{00000000-0004-0000-0A00-00004F000000}"/>
    <hyperlink ref="E22" r:id="rId81" display="https://www.linkedin.com/learning/introducing-ai-to-your-organization" xr:uid="{00000000-0004-0000-0A00-000050000000}"/>
    <hyperlink ref="L22" r:id="rId82" display="https://www.linkedin.com/learning/boosting-your-confidence-public-speaking-and-performance" xr:uid="{00000000-0004-0000-0A00-000051000000}"/>
    <hyperlink ref="S22" r:id="rId83" display="https://www.linkedin.com/learning/hoshin-planning" xr:uid="{00000000-0004-0000-0A00-000052000000}"/>
    <hyperlink ref="E23" r:id="rId84" display="https://www.linkedin.com/learning/understanding-business-2019" xr:uid="{00000000-0004-0000-0A00-000053000000}"/>
    <hyperlink ref="L23" r:id="rId85" display="https://www.linkedin.com/learning/presenting-technical-information-with-stories" xr:uid="{00000000-0004-0000-0A00-000054000000}"/>
    <hyperlink ref="S23" r:id="rId86" display="https://www.linkedin.com/learning/implementing-lean-a-case-study" xr:uid="{00000000-0004-0000-0A00-000055000000}"/>
    <hyperlink ref="E24" r:id="rId87" display="https://www.linkedin.com/learning/lean-deep-dive-job-instruction" xr:uid="{00000000-0004-0000-0A00-000056000000}"/>
    <hyperlink ref="L24" r:id="rId88" display="https://www.linkedin.com/learning/designing-a-presentation-2/designing-a-presentation" xr:uid="{00000000-0004-0000-0A00-000057000000}"/>
    <hyperlink ref="S24" r:id="rId89" display="https://www.linkedin.com/learning/from-resisting-to-embracing-lean-a-case-study" xr:uid="{00000000-0004-0000-0A00-000058000000}"/>
    <hyperlink ref="E25" r:id="rId90" display="https://www.linkedin.com/learning/workplace-visualization" xr:uid="{00000000-0004-0000-0A00-000059000000}"/>
    <hyperlink ref="L25" r:id="rId91" display="https://www.linkedin.com/learning/leading-productive-meetings-3" xr:uid="{00000000-0004-0000-0A00-00005A000000}"/>
    <hyperlink ref="S25" r:id="rId92" display="https://www.linkedin.com/learning/project-management-tips" xr:uid="{00000000-0004-0000-0A00-00005B000000}"/>
    <hyperlink ref="E26" r:id="rId93" display="https://www.linkedin.com/learning/implementing-continuous-improvement-a-case-study" xr:uid="{00000000-0004-0000-0A00-00005C000000}"/>
    <hyperlink ref="L26" r:id="rId94" display="https://www.linkedin.com/learning/powerpoint-2016-essential-training" xr:uid="{00000000-0004-0000-0A00-00005D000000}"/>
    <hyperlink ref="S26" r:id="rId95" display="https://www.linkedin.com/learning/5s-workplace-productivity" xr:uid="{00000000-0004-0000-0A00-00005E000000}"/>
    <hyperlink ref="E27" r:id="rId96" display="https://www.linkedin.com/learning/implementing-lean-a-case-study" xr:uid="{00000000-0004-0000-0A00-00005F000000}"/>
    <hyperlink ref="L27" r:id="rId97" display="https://www.linkedin.com/learning/powerpoint-2019-essential-training" xr:uid="{00000000-0004-0000-0A00-000060000000}"/>
    <hyperlink ref="S27" r:id="rId98" display="https://www.linkedin.com/learning/time-management-tips-2019" xr:uid="{00000000-0004-0000-0A00-000061000000}"/>
    <hyperlink ref="E28" r:id="rId99" display="https://www.linkedin.com/learning/from-resisting-to-embracing-lean-a-case-study" xr:uid="{00000000-0004-0000-0A00-000062000000}"/>
    <hyperlink ref="L28" r:id="rId100" display="https://www.linkedin.com/learning/powerpoint-essential-training-office-365" xr:uid="{00000000-0004-0000-0A00-000063000000}"/>
    <hyperlink ref="S28" r:id="rId101" display="https://www.linkedin.com/learning/time-management-tips-teamwork-2019" xr:uid="{00000000-0004-0000-0A00-000064000000}"/>
    <hyperlink ref="E29" r:id="rId102" display="https://www.linkedin.com/learning/5s-workplace-productivity" xr:uid="{00000000-0004-0000-0A00-000065000000}"/>
    <hyperlink ref="L29" r:id="rId103" display="https://www.linkedin.com/learning/managing-your-anxiety-while-presenting" xr:uid="{00000000-0004-0000-0A00-000066000000}"/>
    <hyperlink ref="S29" r:id="rId104" display="https://www.linkedin.com/learning/introducing-the-pmbok-guide-seventh-edition" xr:uid="{00000000-0004-0000-0A00-000067000000}"/>
    <hyperlink ref="E30" r:id="rId105" display="https://www.linkedin.com/learning/agile-software-development-creating-an-agile-culture" xr:uid="{00000000-0004-0000-0A00-000068000000}"/>
    <hyperlink ref="L30" r:id="rId106" display="https://www.linkedin.com/learning/connecting-with-your-audience-using-video" xr:uid="{00000000-0004-0000-0A00-000069000000}"/>
    <hyperlink ref="S30" r:id="rId107" display="https://www.linkedin.com/learning/productivity-prioritizing-at-work" xr:uid="{00000000-0004-0000-0A00-00006A000000}"/>
    <hyperlink ref="E31" r:id="rId108" display="https://www.linkedin.com/learning/evaluating-and-evolving-your-business-model" xr:uid="{00000000-0004-0000-0A00-00006B000000}"/>
    <hyperlink ref="L31" r:id="rId109" display="https://www.linkedin.com/learning/how-to-create-and-run-a-brilliant-remote-workshop-uk" xr:uid="{00000000-0004-0000-0A00-00006C000000}"/>
    <hyperlink ref="S31" r:id="rId110" display="https://www.linkedin.com/learning/leading-remote-projects-and-virtual-teams" xr:uid="{00000000-0004-0000-0A00-00006D000000}"/>
    <hyperlink ref="E32" r:id="rId111" display="https://www.linkedin.com/learning/revenue-staffing-and-expense-models-explained" xr:uid="{00000000-0004-0000-0A00-00006E000000}"/>
    <hyperlink ref="L32" r:id="rId112" display="https://www.linkedin.com/learning/communicating-with-confidence" xr:uid="{00000000-0004-0000-0A00-00006F000000}"/>
    <hyperlink ref="S32" r:id="rId113" display="https://www.linkedin.com/learning/project-leadership" xr:uid="{00000000-0004-0000-0A00-000070000000}"/>
    <hyperlink ref="E33" r:id="rId114" display="https://www.linkedin.com/learning/pricing-strategy-explained" xr:uid="{00000000-0004-0000-0A00-000071000000}"/>
    <hyperlink ref="L33" r:id="rId115" display="https://www.linkedin.com/learning/17-pr-mistakes-to-avoid" xr:uid="{00000000-0004-0000-0A00-000072000000}"/>
    <hyperlink ref="E34" r:id="rId116" display="https://www.linkedin.com/learning/data-ethics-managing-your-private-customer-data" xr:uid="{00000000-0004-0000-0A00-000073000000}"/>
    <hyperlink ref="L34" r:id="rId117" display="https://www.linkedin.com/learning/finding-your-idea-hook" xr:uid="{00000000-0004-0000-0A00-000074000000}"/>
    <hyperlink ref="S34" r:id="rId118" display="https://www.linkedin.com/learning/product-management-weekly-serial-planning-q1-2018" xr:uid="{00000000-0004-0000-0A00-000075000000}"/>
    <hyperlink ref="E35" r:id="rId119" display="https://www.linkedin.com/learning/quality-management-foundations" xr:uid="{00000000-0004-0000-0A00-000076000000}"/>
    <hyperlink ref="L35" r:id="rId120" display="https://www.linkedin.com/learning/presenting-to-senior-executives" xr:uid="{00000000-0004-0000-0A00-000077000000}"/>
    <hyperlink ref="S35" r:id="rId121" display="https://www.linkedin.com/learning/delivering-results-with-a-business-focused-pmo" xr:uid="{00000000-0004-0000-0A00-000078000000}"/>
    <hyperlink ref="E36" r:id="rId122" display="https://www.linkedin.com/learning/supply-chain-and-operations-management-weekly-tips" xr:uid="{00000000-0004-0000-0A00-000079000000}"/>
    <hyperlink ref="L36" r:id="rId123" display="https://www.linkedin.com/learning/how-to-own-a-room" xr:uid="{00000000-0004-0000-0A00-00007A000000}"/>
    <hyperlink ref="S36" r:id="rId124" display="https://www.linkedin.com/learning/project-management-solving-common-project-problems" xr:uid="{00000000-0004-0000-0A00-00007B000000}"/>
    <hyperlink ref="E37" r:id="rId125" display="https://www.linkedin.com/learning/how-blockchains-will-change-business" xr:uid="{00000000-0004-0000-0A00-00007C000000}"/>
    <hyperlink ref="L37" r:id="rId126" display="https://www.linkedin.com/learning/master-confident-presentations" xr:uid="{00000000-0004-0000-0A00-00007D000000}"/>
    <hyperlink ref="S37" r:id="rId127" display="https://www.linkedin.com/learning/managing-project-stakeholders-2019" xr:uid="{00000000-0004-0000-0A00-00007E000000}"/>
    <hyperlink ref="E38" r:id="rId128" display="https://www.linkedin.com/learning/design-thinking-implementing-the-process-revision-2021" xr:uid="{00000000-0004-0000-0A00-00007F000000}"/>
    <hyperlink ref="L38" r:id="rId129" display="https://www.linkedin.com/learning/powerpoint-designing-better-slides" xr:uid="{00000000-0004-0000-0A00-000080000000}"/>
    <hyperlink ref="S38" r:id="rId130" display="https://www.linkedin.com/learning/transitioning-from-waterfall-to-agile-project-management-2019" xr:uid="{00000000-0004-0000-0A00-000081000000}"/>
    <hyperlink ref="E39" r:id="rId131" display="https://www.linkedin.com/learning/following-the-digital-thread" xr:uid="{00000000-0004-0000-0A00-000082000000}"/>
    <hyperlink ref="L39" r:id="rId132" display="https://www.linkedin.com/learning/shane-snow-on-storytelling" xr:uid="{00000000-0004-0000-0A00-000083000000}"/>
    <hyperlink ref="S39" r:id="rId133" display="https://www.linkedin.com/learning/construction-industry-safety" xr:uid="{00000000-0004-0000-0A00-000084000000}"/>
    <hyperlink ref="E40" r:id="rId134" display="https://www.linkedin.com/learning/supply-chain-basics-for-everyone" xr:uid="{00000000-0004-0000-0A00-000085000000}"/>
    <hyperlink ref="L40" r:id="rId135" display="https://www.linkedin.com/learning/delivery-tips-for-speaking-in-public" xr:uid="{00000000-0004-0000-0A00-000086000000}"/>
    <hyperlink ref="S40" r:id="rId136" display="https://www.linkedin.com/learning/what-is-a-pmo" xr:uid="{00000000-0004-0000-0A00-000087000000}"/>
    <hyperlink ref="E41" r:id="rId137" display="https://www.linkedin.com/learning/operational-excellence-foundations" xr:uid="{00000000-0004-0000-0A00-000088000000}"/>
    <hyperlink ref="L41" r:id="rId138" display="https://www.linkedin.com/learning/presentation-tips-weekly" xr:uid="{00000000-0004-0000-0A00-000089000000}"/>
    <hyperlink ref="S41" r:id="rId139" display="https://www.linkedin.com/learning/what-is-scrum" xr:uid="{00000000-0004-0000-0A00-00008A000000}"/>
    <hyperlink ref="E42" r:id="rId140" display="https://www.linkedin.com/learning/supply-chain-and-operations-careers-certification-tips-and-tricks/supply-chain-certifications" xr:uid="{00000000-0004-0000-0A00-00008B000000}"/>
    <hyperlink ref="L42" r:id="rId141" display="https://www.linkedin.com/learning/powerpoint-8-easy-ways-to-make-your-presentations-look-better,https:/www.linkedin.com/learning/powerpoint-eight-easy-ways-to-make-your-presentation-stand-out" xr:uid="{00000000-0004-0000-0A00-00008C000000}"/>
    <hyperlink ref="S42" r:id="rId142" display="https://www.linkedin.com/learning/how-to-create-and-run-a-brilliant-remote-workshop-uk" xr:uid="{00000000-0004-0000-0A00-00008D000000}"/>
    <hyperlink ref="E43" r:id="rId143" display="https://www.linkedin.com/learning/how-to-make-strategic-thinking-a-habit" xr:uid="{00000000-0004-0000-0A00-00008E000000}"/>
    <hyperlink ref="L43" r:id="rId144" display="https://www.linkedin.com/learning/data-driven-presentations-with-excel-and-powerpoint-365-2019" xr:uid="{00000000-0004-0000-0A00-00008F000000}"/>
    <hyperlink ref="S43" r:id="rId145" display="https://www.linkedin.com/learning/comparing-agile-vs-waterfall-project-management" xr:uid="{00000000-0004-0000-0A00-000090000000}"/>
    <hyperlink ref="E44" r:id="rId146" display="https://www.linkedin.com/learning/design-thinking-understanding-the-process-revision-2021" xr:uid="{00000000-0004-0000-0A00-000091000000}"/>
    <hyperlink ref="L44" r:id="rId147" display="https://www.linkedin.com/learning/creating-and-giving-business-presentations" xr:uid="{00000000-0004-0000-0A00-000092000000}"/>
    <hyperlink ref="S44" r:id="rId148" display="https://www.linkedin.com/learning/linkedin-learning-highlights-project-management" xr:uid="{00000000-0004-0000-0A00-000093000000}"/>
    <hyperlink ref="E45" r:id="rId149" display="https://www.linkedin.com/learning/implementing-a-vulnerability-management-program" xr:uid="{00000000-0004-0000-0A00-000094000000}"/>
    <hyperlink ref="L45" r:id="rId150" display="https://www.linkedin.com/learning/data-visualization-storytelling" xr:uid="{00000000-0004-0000-0A00-000095000000}"/>
    <hyperlink ref="S45" r:id="rId151" display="https://www.linkedin.com/learning/emotional-intelligence-for-project-managers-blinkist-summary" xr:uid="{00000000-0004-0000-0A00-000096000000}"/>
    <hyperlink ref="E46" r:id="rId152" display="https://www.linkedin.com/learning/business-process-improvement" xr:uid="{00000000-0004-0000-0A00-000097000000}"/>
    <hyperlink ref="L46" r:id="rId153" display="https://www.linkedin.com/learning/facilitation-skills-for-managers-and-leaders" xr:uid="{00000000-0004-0000-0A00-000098000000}"/>
    <hyperlink ref="S46" r:id="rId154" display="https://www.linkedin.com/learning/gemba-kaizen-a-commonsense-approach-to-continuous-improvement-blinkist-summary" xr:uid="{00000000-0004-0000-0A00-000099000000}"/>
    <hyperlink ref="E47" r:id="rId155" display="https://www.linkedin.com/learning/devops-foundations-lean-and-agile" xr:uid="{00000000-0004-0000-0A00-00009A000000}"/>
    <hyperlink ref="L47" r:id="rId156" display="https://www.linkedin.com/learning/making-great-sales-presentations" xr:uid="{00000000-0004-0000-0A00-00009B000000}"/>
    <hyperlink ref="S47" r:id="rId157" display="https://www.linkedin.com/learning/lean-technology-strategy-economic-frameworks-for-portfolio-and-product-management" xr:uid="{00000000-0004-0000-0A00-00009C000000}"/>
    <hyperlink ref="E48" r:id="rId158" display="https://www.linkedin.com/learning/ux-deep-dive-remote-research" xr:uid="{00000000-0004-0000-0A00-00009D000000}"/>
    <hyperlink ref="L48" r:id="rId159" display="https://www.linkedin.com/learning/meeting-facilitation/making-meetings-better" xr:uid="{00000000-0004-0000-0A00-00009E000000}"/>
    <hyperlink ref="S48" r:id="rId160" display="https://www.linkedin.com/learning/how-to-successfully-lead-a-pmo" xr:uid="{00000000-0004-0000-0A00-00009F000000}"/>
    <hyperlink ref="E49" r:id="rId161" display="https://www.linkedin.com/learning/leading-with-next-generation-kpis-with-michael-schrage" xr:uid="{00000000-0004-0000-0A00-0000A0000000}"/>
    <hyperlink ref="L49" r:id="rId162" display="https://www.linkedin.com/learning/powerpoint-2016-audio-and-video-in-depth" xr:uid="{00000000-0004-0000-0A00-0000A1000000}"/>
    <hyperlink ref="S49" r:id="rId163" display="https://www.linkedin.com/learning/creating-a-program-strategy" xr:uid="{00000000-0004-0000-0A00-0000A2000000}"/>
    <hyperlink ref="E50" r:id="rId164" display="https://www.linkedin.com/learning/building-and-managing-signature-products" xr:uid="{00000000-0004-0000-0A00-0000A3000000}"/>
    <hyperlink ref="L50" r:id="rId165" display="https://www.linkedin.com/learning/powerpoint-2016-tips-and-tricks" xr:uid="{00000000-0004-0000-0A00-0000A4000000}"/>
    <hyperlink ref="S50" r:id="rId166" display="https://www.linkedin.com/learning/adaptive-project-leadership/be-an-adaptive-leader" xr:uid="{00000000-0004-0000-0A00-0000A5000000}"/>
    <hyperlink ref="E51" r:id="rId167" display="https://www.linkedin.com/learning/excel-supply-chain-analysis-solving-transportation-problems" xr:uid="{00000000-0004-0000-0A00-0000A6000000}"/>
    <hyperlink ref="L51" r:id="rId168" display="https://www.linkedin.com/learning/preparing-for-successful-communication/read-the-room" xr:uid="{00000000-0004-0000-0A00-0000A7000000}"/>
    <hyperlink ref="S51" r:id="rId169" display="https://www.linkedin.com/learning/blending-project-management-methods" xr:uid="{00000000-0004-0000-0A00-0000A8000000}"/>
    <hyperlink ref="E52" r:id="rId170" display="https://www.linkedin.com/learning/enterprise-agile-changing-your-culture" xr:uid="{00000000-0004-0000-0A00-0000A9000000}"/>
    <hyperlink ref="L52" r:id="rId171" display="https://www.linkedin.com/learning/workshop-facilitation" xr:uid="{00000000-0004-0000-0A00-0000AA000000}"/>
    <hyperlink ref="S52" r:id="rId172" display="https://www.linkedin.com/learning/exam-tips-certified-associate-in-project-management-capm" xr:uid="{00000000-0004-0000-0A00-0000AB000000}"/>
    <hyperlink ref="E53" r:id="rId173" display="https://www.linkedin.com/learning/implementing-supply-chain-management/why-supply-chain-management-matters" xr:uid="{00000000-0004-0000-0A00-0000AC000000}"/>
    <hyperlink ref="S53" r:id="rId174" display="https://www.linkedin.com/learning/leading-projects/case-study-a-new-distribution-center" xr:uid="{00000000-0004-0000-0A00-0000AD000000}"/>
    <hyperlink ref="E54" r:id="rId175" display="https://www.linkedin.com/learning/lean-six-sigma-analyze-improve-and-control-tools" xr:uid="{00000000-0004-0000-0A00-0000AE000000}"/>
    <hyperlink ref="S54" r:id="rId176" display="https://www.linkedin.com/learning/product-management-building-a-product-roadmap" xr:uid="{00000000-0004-0000-0A00-0000AF000000}"/>
    <hyperlink ref="E55" r:id="rId177" display="https://www.linkedin.com/learning/lean-six-sigma-define-and-measure-tools" xr:uid="{00000000-0004-0000-0A00-0000B0000000}"/>
    <hyperlink ref="S55" r:id="rId178" display="https://www.linkedin.com/learning/program-management" xr:uid="{00000000-0004-0000-0A00-0000B1000000}"/>
    <hyperlink ref="E56" r:id="rId179" display="https://www.linkedin.com/learning/lean-technology-strategy-starting-your-business-transformation-2/deploying-the-improvement-kata" xr:uid="{00000000-0004-0000-0A00-0000B2000000}"/>
    <hyperlink ref="S56" r:id="rId180" display="https://www.linkedin.com/learning/project-management-foundations-budgets-3" xr:uid="{00000000-0004-0000-0A00-0000B3000000}"/>
    <hyperlink ref="E57" r:id="rId181" display="https://www.linkedin.com/learning/operational-excellence-work-out-and-kaizen-facilitator" xr:uid="{00000000-0004-0000-0A00-0000B4000000}"/>
    <hyperlink ref="S57" r:id="rId182" display="https://www.linkedin.com/learning/project-management-foundations-procurement-2" xr:uid="{00000000-0004-0000-0A00-0000B5000000}"/>
    <hyperlink ref="E58" r:id="rId183" display="https://www.linkedin.com/learning/product-management-building-a-product-strategy" xr:uid="{00000000-0004-0000-0A00-0000B6000000}"/>
    <hyperlink ref="S58" r:id="rId184" display="https://www.linkedin.com/learning/project-management-foundations-risk-3" xr:uid="{00000000-0004-0000-0A00-0000B7000000}"/>
    <hyperlink ref="E59" r:id="rId185" display="https://www.linkedin.com/learning/purchasing-foundations" xr:uid="{00000000-0004-0000-0A00-0000B8000000}"/>
    <hyperlink ref="S59" r:id="rId186" display="https://www.linkedin.com/learning/project-management-technical-projects" xr:uid="{00000000-0004-0000-0A00-0000B9000000}"/>
    <hyperlink ref="E60" r:id="rId187" display="https://www.linkedin.com/learning/six-sigma-black-belt" xr:uid="{00000000-0004-0000-0A00-0000BA000000}"/>
    <hyperlink ref="S60" r:id="rId188" display="https://www.linkedin.com/learning/the-top-pmo-challenges" xr:uid="{00000000-0004-0000-0A00-0000BB000000}"/>
    <hyperlink ref="E61" r:id="rId189" display="https://www.linkedin.com/learning/six-sigma-green-belt" xr:uid="{00000000-0004-0000-0A00-0000BC000000}"/>
    <hyperlink ref="S61" r:id="rId190" display="https://www.linkedin.com/learning/managing-projects-with-microsoft-teams" xr:uid="{00000000-0004-0000-0A00-0000BD000000}"/>
    <hyperlink ref="E62" r:id="rId191" display="https://www.linkedin.com/learning/sustainability-strategies" xr:uid="{00000000-0004-0000-0A00-0000BE000000}"/>
    <hyperlink ref="S62" r:id="rId192" display="https://www.linkedin.com/learning/trello-for-agile-teams" xr:uid="{00000000-0004-0000-0A00-0000BF000000}"/>
    <hyperlink ref="E63" r:id="rId193" display="https://www.linkedin.com/learning/evaluating-business-investment-decisions" xr:uid="{00000000-0004-0000-0A00-0000C0000000}"/>
    <hyperlink ref="S63" r:id="rId194" display="https://www.linkedin.com/learning/jira-basic-administration" xr:uid="{00000000-0004-0000-0A00-0000C1000000}"/>
    <hyperlink ref="E64" r:id="rId195" display="https://www.linkedin.com/learning/managing-logistics-2019" xr:uid="{00000000-0004-0000-0A00-0000C2000000}"/>
    <hyperlink ref="E65" r:id="rId196" display="https://www.linkedin.com/learning/skip-level-meetings-2019" xr:uid="{00000000-0004-0000-0A00-0000C3000000}"/>
    <hyperlink ref="E66" r:id="rId197" display="https://www.linkedin.com/learning/excel-implementing-balanced-scorecards-with-kpis" xr:uid="{00000000-0004-0000-0A00-0000C4000000}"/>
    <hyperlink ref="E67" r:id="rId198" display="https://www.linkedin.com/learning/agile-software-development-clean-coding-practices" xr:uid="{00000000-0004-0000-0A00-0000C5000000}"/>
    <hyperlink ref="E68" r:id="rId199" display="https://www.linkedin.com/learning/predictive-analytics-essential-training-for-executives" xr:uid="{00000000-0004-0000-0A00-0000C6000000}"/>
    <hyperlink ref="E69" r:id="rId200" display="https://www.linkedin.com/learning/sap-ariba-supply-chain-collaboration-overview" xr:uid="{00000000-0004-0000-0A00-0000C7000000}"/>
    <hyperlink ref="E70" r:id="rId201" display="https://www.linkedin.com/learning/ai-in-fintech-essential-training" xr:uid="{00000000-0004-0000-0A00-0000C8000000}"/>
    <hyperlink ref="E71" r:id="rId202" display="https://www.linkedin.com/learning/introduction-to-sap-bi-bw" xr:uid="{00000000-0004-0000-0A00-0000C9000000}"/>
    <hyperlink ref="E72" r:id="rId203" display="https://www.linkedin.com/learning/sap-bi-bw-project-design-and-implementation" xr:uid="{00000000-0004-0000-0A00-0000CA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xr:uid="{00000000-0002-0000-0A00-000000000000}">
          <x14:formula1>
            <xm:f>'All Competencies'!$A$3:$A573</xm:f>
          </x14:formula1>
          <xm:sqref>A1:C1 G1:J1 N1:Q1 U1:V1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1155CC"/>
    <outlinePr summaryBelow="0" summaryRight="0"/>
  </sheetPr>
  <dimension ref="A1:V80"/>
  <sheetViews>
    <sheetView showGridLines="0" workbookViewId="0">
      <pane ySplit="4" topLeftCell="A5" activePane="bottomLeft" state="frozen"/>
      <selection pane="bottomLeft" activeCell="F21" sqref="F21"/>
    </sheetView>
  </sheetViews>
  <sheetFormatPr baseColWidth="10" defaultColWidth="14.5" defaultRowHeight="15.75" customHeight="1" outlineLevelRow="1" x14ac:dyDescent="0.15"/>
  <cols>
    <col min="1" max="2" width="0.6640625" customWidth="1"/>
    <col min="3" max="3" width="13.5" customWidth="1"/>
    <col min="4" max="4" width="18" customWidth="1"/>
    <col min="5" max="5" width="36.83203125" customWidth="1"/>
    <col min="6" max="6" width="37.5" customWidth="1"/>
    <col min="7" max="9" width="0.6640625" customWidth="1"/>
    <col min="10" max="10" width="13.5" customWidth="1"/>
    <col min="11" max="11" width="18" customWidth="1"/>
    <col min="12" max="12" width="36.83203125" customWidth="1"/>
    <col min="13" max="13" width="37.5" customWidth="1"/>
    <col min="14" max="16" width="0.6640625" customWidth="1"/>
    <col min="17" max="17" width="13.5" customWidth="1"/>
    <col min="18" max="18" width="18" customWidth="1"/>
    <col min="19" max="19" width="36.83203125" customWidth="1"/>
    <col min="20" max="20" width="37.5" customWidth="1"/>
    <col min="21" max="22" width="0.6640625" customWidth="1"/>
  </cols>
  <sheetData>
    <row r="1" spans="1:22" ht="27.75" customHeight="1" outlineLevel="1" x14ac:dyDescent="0.15">
      <c r="A1" s="127"/>
      <c r="B1" s="127"/>
      <c r="C1" s="188" t="s">
        <v>1150</v>
      </c>
      <c r="D1" s="160"/>
      <c r="E1" s="160"/>
      <c r="F1" s="160"/>
      <c r="G1" s="127"/>
      <c r="H1" s="127"/>
      <c r="I1" s="127"/>
      <c r="J1" s="188" t="s">
        <v>1171</v>
      </c>
      <c r="K1" s="160"/>
      <c r="L1" s="160"/>
      <c r="M1" s="160"/>
      <c r="N1" s="127"/>
      <c r="O1" s="127"/>
      <c r="P1" s="127"/>
      <c r="Q1" s="188" t="s">
        <v>1207</v>
      </c>
      <c r="R1" s="160"/>
      <c r="S1" s="160"/>
      <c r="T1" s="160"/>
      <c r="U1" s="127"/>
      <c r="V1" s="127"/>
    </row>
    <row r="2" spans="1:22" ht="17" outlineLevel="1" x14ac:dyDescent="0.15">
      <c r="A2" s="128"/>
      <c r="B2" s="128"/>
      <c r="C2" s="186" t="s">
        <v>1407</v>
      </c>
      <c r="D2" s="160"/>
      <c r="E2" s="160"/>
      <c r="F2" s="160"/>
      <c r="G2" s="128"/>
      <c r="H2" s="128"/>
      <c r="I2" s="128"/>
      <c r="J2" s="186" t="s">
        <v>1407</v>
      </c>
      <c r="K2" s="160"/>
      <c r="L2" s="160"/>
      <c r="M2" s="160"/>
      <c r="N2" s="128"/>
      <c r="O2" s="128"/>
      <c r="P2" s="128"/>
      <c r="Q2" s="186" t="s">
        <v>1407</v>
      </c>
      <c r="R2" s="160"/>
      <c r="S2" s="160"/>
      <c r="T2" s="160"/>
      <c r="U2" s="128"/>
      <c r="V2" s="128"/>
    </row>
    <row r="3" spans="1:22" ht="50" customHeight="1" outlineLevel="1" x14ac:dyDescent="0.15">
      <c r="A3" s="129"/>
      <c r="B3" s="129"/>
      <c r="C3" s="187" t="str">
        <f ca="1">IFERROR(__xludf.DUMMYFUNCTION("IFERROR(UNIQUE(FILTER('Competency Learning Paths'!N:N,'Competency Learning Paths'!A:A= C1)))"),"Prospecting, Upselling, Time Management, Build Rapport, Lead Conversations, Drive Buying Decisions, Emotional Intelligence, Maintain Positivity, Build Solutions, Negotiating Prowess, Growth Opportunities, Networking, Influencing, Persuasive Selling")</f>
        <v>Prospecting, Upselling, Time Management, Build Rapport, Lead Conversations, Drive Buying Decisions, Emotional Intelligence, Maintain Positivity, Build Solutions, Negotiating Prowess, Growth Opportunities, Networking, Influencing, Persuasive Selling</v>
      </c>
      <c r="D3" s="160"/>
      <c r="E3" s="160"/>
      <c r="F3" s="160"/>
      <c r="G3" s="129"/>
      <c r="H3" s="129"/>
      <c r="I3" s="129"/>
      <c r="J3" s="187" t="str">
        <f ca="1">IFERROR(__xludf.DUMMYFUNCTION("IFERROR(UNIQUE(FILTER('Competency Learning Paths'!N:N,'Competency Learning Paths'!A:A= J1)))"),"Strategic Decision-Making, Establishing Strategic Direction, Strategic Decision Making, Planning, Perspective, Strategic Agility, Strategic Mindset")</f>
        <v>Strategic Decision-Making, Establishing Strategic Direction, Strategic Decision Making, Planning, Perspective, Strategic Agility, Strategic Mindset</v>
      </c>
      <c r="K3" s="160"/>
      <c r="L3" s="160"/>
      <c r="M3" s="160"/>
      <c r="N3" s="129"/>
      <c r="O3" s="129"/>
      <c r="P3" s="129"/>
      <c r="Q3" s="187" t="str">
        <f ca="1">IFERROR(__xludf.DUMMYFUNCTION("IFERROR(UNIQUE(FILTER('Competency Learning Paths'!N:N,'Competency Learning Paths'!A:A= Q1)))"),"Develops Talent, Developing Direct Reports, Coaching, Developing Direct Reports and Others, Developing Others")</f>
        <v>Develops Talent, Developing Direct Reports, Coaching, Developing Direct Reports and Others, Developing Others</v>
      </c>
      <c r="R3" s="160"/>
      <c r="S3" s="160"/>
      <c r="T3" s="160"/>
      <c r="U3" s="129"/>
      <c r="V3" s="129"/>
    </row>
    <row r="4" spans="1:22" ht="16" outlineLevel="1" x14ac:dyDescent="0.15">
      <c r="A4" s="130"/>
      <c r="B4" s="131"/>
      <c r="C4" s="132" t="str">
        <f ca="1">IFERROR(__xludf.DUMMYFUNCTION("FILTER('All Competencies'!B:B,'All Competencies'!A:A=C1)"),"Course IDs")</f>
        <v>Course IDs</v>
      </c>
      <c r="D4" s="132" t="str">
        <f ca="1">IFERROR(__xludf.DUMMYFUNCTION("FILTER('All Competencies'!C:C,'All Competencies'!A:A=C1)"),"Level")</f>
        <v>Level</v>
      </c>
      <c r="E4" s="132" t="str">
        <f ca="1">IFERROR(__xludf.DUMMYFUNCTION("FILTER('All Competencies'!D:D,'All Competencies'!A:A=C1)"),"Courses")</f>
        <v>Courses</v>
      </c>
      <c r="F4" s="132" t="str">
        <f ca="1">IFERROR(__xludf.DUMMYFUNCTION("FILTER('All Competencies'!E:E,'All Competencies'!A:A=C1)"),"Learning Paths")</f>
        <v>Learning Paths</v>
      </c>
      <c r="G4" s="133"/>
      <c r="H4" s="131"/>
      <c r="I4" s="130"/>
      <c r="J4" s="132" t="str">
        <f ca="1">IFERROR(__xludf.DUMMYFUNCTION("FILTER('All Competencies'!B:B,'All Competencies'!A:A=J1)"),"Course IDs")</f>
        <v>Course IDs</v>
      </c>
      <c r="K4" s="132" t="str">
        <f ca="1">IFERROR(__xludf.DUMMYFUNCTION("FILTER('All Competencies'!C:C,'All Competencies'!A:A=J1)"),"Level")</f>
        <v>Level</v>
      </c>
      <c r="L4" s="132" t="str">
        <f ca="1">IFERROR(__xludf.DUMMYFUNCTION("FILTER('All Competencies'!D:D,'All Competencies'!A:A=J1)"),"Courses")</f>
        <v>Courses</v>
      </c>
      <c r="M4" s="132" t="str">
        <f ca="1">IFERROR(__xludf.DUMMYFUNCTION("FILTER('All Competencies'!E:E,'All Competencies'!A:A=J1)"),"Learning Paths")</f>
        <v>Learning Paths</v>
      </c>
      <c r="N4" s="133"/>
      <c r="O4" s="131"/>
      <c r="P4" s="130"/>
      <c r="Q4" s="132" t="str">
        <f ca="1">IFERROR(__xludf.DUMMYFUNCTION("FILTER('All Competencies'!B:B,'All Competencies'!A:A=Q1)"),"Course IDs")</f>
        <v>Course IDs</v>
      </c>
      <c r="R4" s="132" t="str">
        <f ca="1">IFERROR(__xludf.DUMMYFUNCTION("FILTER('All Competencies'!C:C,'All Competencies'!A:A=Q1)"),"Level")</f>
        <v>Level</v>
      </c>
      <c r="S4" s="132" t="str">
        <f ca="1">IFERROR(__xludf.DUMMYFUNCTION("FILTER('All Competencies'!D:D,'All Competencies'!A:A=Q1)"),"Courses")</f>
        <v>Courses</v>
      </c>
      <c r="T4" s="132" t="str">
        <f ca="1">IFERROR(__xludf.DUMMYFUNCTION("FILTER('All Competencies'!E:E,'All Competencies'!A:A=Q1)"),"Learning Paths")</f>
        <v>Learning Paths</v>
      </c>
      <c r="U4" s="133"/>
      <c r="V4" s="130"/>
    </row>
    <row r="5" spans="1:22" ht="33.75" customHeight="1" x14ac:dyDescent="0.15">
      <c r="A5" s="134"/>
      <c r="B5" s="134"/>
      <c r="C5" s="135">
        <f ca="1">IFERROR(__xludf.DUMMYFUNCTION("""COMPUTED_VALUE"""),520215)</f>
        <v>520215</v>
      </c>
      <c r="D5" s="135" t="str">
        <f ca="1">IFERROR(__xludf.DUMMYFUNCTION("""COMPUTED_VALUE"""),"Advanced")</f>
        <v>Advanced</v>
      </c>
      <c r="E5" s="136" t="str">
        <f ca="1">IFERROR(__xludf.DUMMYFUNCTION("""COMPUTED_VALUE"""),"Sales Coaching")</f>
        <v>Sales Coaching</v>
      </c>
      <c r="F5" s="137" t="str">
        <f ca="1">IFERROR(__xludf.DUMMYFUNCTION("""COMPUTED_VALUE"""),"Develop Your Sales Knowledge and Skills ")</f>
        <v xml:space="preserve">Develop Your Sales Knowledge and Skills </v>
      </c>
      <c r="G5" s="134"/>
      <c r="H5" s="134"/>
      <c r="I5" s="134"/>
      <c r="J5" s="135">
        <f ca="1">IFERROR(__xludf.DUMMYFUNCTION("""COMPUTED_VALUE"""),794116)</f>
        <v>794116</v>
      </c>
      <c r="K5" s="135" t="str">
        <f ca="1">IFERROR(__xludf.DUMMYFUNCTION("""COMPUTED_VALUE"""),"Advanced")</f>
        <v>Advanced</v>
      </c>
      <c r="L5" s="136" t="str">
        <f ca="1">IFERROR(__xludf.DUMMYFUNCTION("""COMPUTED_VALUE"""),"Business Development: Strategic Planning")</f>
        <v>Business Development: Strategic Planning</v>
      </c>
      <c r="M5" s="137" t="str">
        <f ca="1">IFERROR(__xludf.DUMMYFUNCTION("""COMPUTED_VALUE"""),"Develop Your Strategic Planning Skills ")</f>
        <v xml:space="preserve">Develop Your Strategic Planning Skills </v>
      </c>
      <c r="N5" s="134"/>
      <c r="O5" s="134"/>
      <c r="P5" s="134"/>
      <c r="Q5" s="135">
        <f ca="1">IFERROR(__xludf.DUMMYFUNCTION("""COMPUTED_VALUE"""),570964)</f>
        <v>570964</v>
      </c>
      <c r="R5" s="135" t="str">
        <f ca="1">IFERROR(__xludf.DUMMYFUNCTION("""COMPUTED_VALUE"""),"Advanced")</f>
        <v>Advanced</v>
      </c>
      <c r="S5" s="136" t="str">
        <f ca="1">IFERROR(__xludf.DUMMYFUNCTION("""COMPUTED_VALUE"""),"Employee Engagement")</f>
        <v>Employee Engagement</v>
      </c>
      <c r="T5" s="137" t="str">
        <f ca="1">IFERROR(__xludf.DUMMYFUNCTION("""COMPUTED_VALUE"""),"Develop, Motivate, and Retain Employees ")</f>
        <v xml:space="preserve">Develop, Motivate, and Retain Employees </v>
      </c>
      <c r="U5" s="134"/>
      <c r="V5" s="134"/>
    </row>
    <row r="6" spans="1:22" ht="33.75" customHeight="1" x14ac:dyDescent="0.15">
      <c r="A6" s="134"/>
      <c r="B6" s="134"/>
      <c r="C6" s="138">
        <f ca="1">IFERROR(__xludf.DUMMYFUNCTION("""COMPUTED_VALUE"""),555794)</f>
        <v>555794</v>
      </c>
      <c r="D6" s="138" t="str">
        <f ca="1">IFERROR(__xludf.DUMMYFUNCTION("""COMPUTED_VALUE"""),"Advanced")</f>
        <v>Advanced</v>
      </c>
      <c r="E6" s="139" t="str">
        <f ca="1">IFERROR(__xludf.DUMMYFUNCTION("""COMPUTED_VALUE"""),"Salesforce for Sales Managers")</f>
        <v>Salesforce for Sales Managers</v>
      </c>
      <c r="F6" s="140" t="str">
        <f ca="1">IFERROR(__xludf.DUMMYFUNCTION("""COMPUTED_VALUE"""),"Become a Sales Manager")</f>
        <v>Become a Sales Manager</v>
      </c>
      <c r="G6" s="134"/>
      <c r="H6" s="134"/>
      <c r="I6" s="134"/>
      <c r="J6" s="138">
        <f ca="1">IFERROR(__xludf.DUMMYFUNCTION("""COMPUTED_VALUE"""),689761)</f>
        <v>689761</v>
      </c>
      <c r="K6" s="138" t="str">
        <f ca="1">IFERROR(__xludf.DUMMYFUNCTION("""COMPUTED_VALUE"""),"Advanced")</f>
        <v>Advanced</v>
      </c>
      <c r="L6" s="139" t="str">
        <f ca="1">IFERROR(__xludf.DUMMYFUNCTION("""COMPUTED_VALUE"""),"Creating a Culture of Change")</f>
        <v>Creating a Culture of Change</v>
      </c>
      <c r="M6" s="140" t="str">
        <f ca="1">IFERROR(__xludf.DUMMYFUNCTION("""COMPUTED_VALUE"""),"Become a Business Unit Manager")</f>
        <v>Become a Business Unit Manager</v>
      </c>
      <c r="N6" s="134"/>
      <c r="O6" s="134"/>
      <c r="P6" s="134"/>
      <c r="Q6" s="138">
        <f ca="1">IFERROR(__xludf.DUMMYFUNCTION("""COMPUTED_VALUE"""),574670)</f>
        <v>574670</v>
      </c>
      <c r="R6" s="138" t="str">
        <f ca="1">IFERROR(__xludf.DUMMYFUNCTION("""COMPUTED_VALUE"""),"Advanced")</f>
        <v>Advanced</v>
      </c>
      <c r="S6" s="139" t="str">
        <f ca="1">IFERROR(__xludf.DUMMYFUNCTION("""COMPUTED_VALUE"""),"Creating a High Performance Culture")</f>
        <v>Creating a High Performance Culture</v>
      </c>
      <c r="T6" s="140" t="str">
        <f ca="1">IFERROR(__xludf.DUMMYFUNCTION("""COMPUTED_VALUE"""),"Become an L&amp;D Professional")</f>
        <v>Become an L&amp;D Professional</v>
      </c>
      <c r="U6" s="134"/>
      <c r="V6" s="134"/>
    </row>
    <row r="7" spans="1:22" ht="33.75" customHeight="1" x14ac:dyDescent="0.15">
      <c r="A7" s="134"/>
      <c r="B7" s="134"/>
      <c r="C7" s="138">
        <f ca="1">IFERROR(__xludf.DUMMYFUNCTION("""COMPUTED_VALUE"""),777346)</f>
        <v>777346</v>
      </c>
      <c r="D7" s="138" t="str">
        <f ca="1">IFERROR(__xludf.DUMMYFUNCTION("""COMPUTED_VALUE"""),"Advanced")</f>
        <v>Advanced</v>
      </c>
      <c r="E7" s="139" t="str">
        <f ca="1">IFERROR(__xludf.DUMMYFUNCTION("""COMPUTED_VALUE"""),"The Persuasion Code: The Neuroscience of Sales")</f>
        <v>The Persuasion Code: The Neuroscience of Sales</v>
      </c>
      <c r="F7" s="140" t="str">
        <f ca="1">IFERROR(__xludf.DUMMYFUNCTION("""COMPUTED_VALUE"""),"Become a Sales Representative")</f>
        <v>Become a Sales Representative</v>
      </c>
      <c r="G7" s="134"/>
      <c r="H7" s="134"/>
      <c r="I7" s="134"/>
      <c r="J7" s="138">
        <f ca="1">IFERROR(__xludf.DUMMYFUNCTION("""COMPUTED_VALUE"""),592487)</f>
        <v>592487</v>
      </c>
      <c r="K7" s="138" t="str">
        <f ca="1">IFERROR(__xludf.DUMMYFUNCTION("""COMPUTED_VALUE"""),"Advanced")</f>
        <v>Advanced</v>
      </c>
      <c r="L7" s="139" t="str">
        <f ca="1">IFERROR(__xludf.DUMMYFUNCTION("""COMPUTED_VALUE"""),"Creating a Culture of Strategy Execution")</f>
        <v>Creating a Culture of Strategy Execution</v>
      </c>
      <c r="M7" s="140" t="str">
        <f ca="1">IFERROR(__xludf.DUMMYFUNCTION("""COMPUTED_VALUE"""),"Managing Change")</f>
        <v>Managing Change</v>
      </c>
      <c r="N7" s="134"/>
      <c r="O7" s="134"/>
      <c r="P7" s="134"/>
      <c r="Q7" s="138">
        <f ca="1">IFERROR(__xludf.DUMMYFUNCTION("""COMPUTED_VALUE"""),624208)</f>
        <v>624208</v>
      </c>
      <c r="R7" s="138" t="str">
        <f ca="1">IFERROR(__xludf.DUMMYFUNCTION("""COMPUTED_VALUE"""),"Advanced")</f>
        <v>Advanced</v>
      </c>
      <c r="S7" s="139" t="str">
        <f ca="1">IFERROR(__xludf.DUMMYFUNCTION("""COMPUTED_VALUE"""),"Creating a Positive and Healthy Work Environment")</f>
        <v>Creating a Positive and Healthy Work Environment</v>
      </c>
      <c r="T7" s="140" t="str">
        <f ca="1">IFERROR(__xludf.DUMMYFUNCTION("""COMPUTED_VALUE"""),"Improve Your Coaching Skills as a Manager")</f>
        <v>Improve Your Coaching Skills as a Manager</v>
      </c>
      <c r="U7" s="134"/>
      <c r="V7" s="134"/>
    </row>
    <row r="8" spans="1:22" ht="33.75" customHeight="1" x14ac:dyDescent="0.15">
      <c r="A8" s="134"/>
      <c r="B8" s="134"/>
      <c r="C8" s="138">
        <f ca="1">IFERROR(__xludf.DUMMYFUNCTION("""COMPUTED_VALUE"""),797727)</f>
        <v>797727</v>
      </c>
      <c r="D8" s="138" t="str">
        <f ca="1">IFERROR(__xludf.DUMMYFUNCTION("""COMPUTED_VALUE"""),"Advanced")</f>
        <v>Advanced</v>
      </c>
      <c r="E8" s="139" t="str">
        <f ca="1">IFERROR(__xludf.DUMMYFUNCTION("""COMPUTED_VALUE"""),"Sales: Closing Strategies")</f>
        <v>Sales: Closing Strategies</v>
      </c>
      <c r="F8" s="140" t="str">
        <f ca="1">IFERROR(__xludf.DUMMYFUNCTION("""COMPUTED_VALUE"""),"Succeeding in Sales During Times of Volatility")</f>
        <v>Succeeding in Sales During Times of Volatility</v>
      </c>
      <c r="G8" s="134"/>
      <c r="H8" s="134"/>
      <c r="I8" s="134"/>
      <c r="J8" s="138">
        <f ca="1">IFERROR(__xludf.DUMMYFUNCTION("""COMPUTED_VALUE"""),373562)</f>
        <v>373562</v>
      </c>
      <c r="K8" s="138" t="str">
        <f ca="1">IFERROR(__xludf.DUMMYFUNCTION("""COMPUTED_VALUE"""),"Advanced")</f>
        <v>Advanced</v>
      </c>
      <c r="L8" s="139" t="str">
        <f ca="1">IFERROR(__xludf.DUMMYFUNCTION("""COMPUTED_VALUE"""),"Global Strategy")</f>
        <v>Global Strategy</v>
      </c>
      <c r="M8" s="140" t="str">
        <f ca="1">IFERROR(__xludf.DUMMYFUNCTION("""COMPUTED_VALUE"""),"Become a Content Strategist")</f>
        <v>Become a Content Strategist</v>
      </c>
      <c r="N8" s="134"/>
      <c r="O8" s="134"/>
      <c r="P8" s="134"/>
      <c r="Q8" s="138">
        <f ca="1">IFERROR(__xludf.DUMMYFUNCTION("""COMPUTED_VALUE"""),688515)</f>
        <v>688515</v>
      </c>
      <c r="R8" s="138" t="str">
        <f ca="1">IFERROR(__xludf.DUMMYFUNCTION("""COMPUTED_VALUE"""),"Advanced")</f>
        <v>Advanced</v>
      </c>
      <c r="S8" s="139" t="str">
        <f ca="1">IFERROR(__xludf.DUMMYFUNCTION("""COMPUTED_VALUE"""),"Succession Planning")</f>
        <v>Succession Planning</v>
      </c>
      <c r="T8" s="140" t="str">
        <f ca="1">IFERROR(__xludf.DUMMYFUNCTION("""COMPUTED_VALUE"""),"Finding and Retaining Talent")</f>
        <v>Finding and Retaining Talent</v>
      </c>
      <c r="U8" s="134"/>
      <c r="V8" s="134"/>
    </row>
    <row r="9" spans="1:22" ht="33.75" customHeight="1" x14ac:dyDescent="0.15">
      <c r="A9" s="134"/>
      <c r="B9" s="134"/>
      <c r="C9" s="138">
        <f ca="1">IFERROR(__xludf.DUMMYFUNCTION("""COMPUTED_VALUE"""),2811346)</f>
        <v>2811346</v>
      </c>
      <c r="D9" s="138" t="str">
        <f ca="1">IFERROR(__xludf.DUMMYFUNCTION("""COMPUTED_VALUE"""),"Advanced")</f>
        <v>Advanced</v>
      </c>
      <c r="E9" s="139" t="str">
        <f ca="1">IFERROR(__xludf.DUMMYFUNCTION("""COMPUTED_VALUE"""),"Advanced Persuasive Selling: Persuading Different Personality Types")</f>
        <v>Advanced Persuasive Selling: Persuading Different Personality Types</v>
      </c>
      <c r="F9" s="141"/>
      <c r="G9" s="134"/>
      <c r="H9" s="134"/>
      <c r="I9" s="134"/>
      <c r="J9" s="138">
        <f ca="1">IFERROR(__xludf.DUMMYFUNCTION("""COMPUTED_VALUE"""),685023)</f>
        <v>685023</v>
      </c>
      <c r="K9" s="138" t="str">
        <f ca="1">IFERROR(__xludf.DUMMYFUNCTION("""COMPUTED_VALUE"""),"Advanced")</f>
        <v>Advanced</v>
      </c>
      <c r="L9" s="139" t="str">
        <f ca="1">IFERROR(__xludf.DUMMYFUNCTION("""COMPUTED_VALUE"""),"Leading with Vision")</f>
        <v>Leading with Vision</v>
      </c>
      <c r="M9" s="140" t="str">
        <f ca="1">IFERROR(__xludf.DUMMYFUNCTION("""COMPUTED_VALUE"""),"Become a Business Operations Associate")</f>
        <v>Become a Business Operations Associate</v>
      </c>
      <c r="N9" s="134"/>
      <c r="O9" s="134"/>
      <c r="P9" s="134"/>
      <c r="Q9" s="138">
        <f ca="1">IFERROR(__xludf.DUMMYFUNCTION("""COMPUTED_VALUE"""),2812133)</f>
        <v>2812133</v>
      </c>
      <c r="R9" s="138" t="str">
        <f ca="1">IFERROR(__xludf.DUMMYFUNCTION("""COMPUTED_VALUE"""),"Advanced")</f>
        <v>Advanced</v>
      </c>
      <c r="S9" s="139" t="str">
        <f ca="1">IFERROR(__xludf.DUMMYFUNCTION("""COMPUTED_VALUE"""),"Using Neuroscience for More Effective L&amp;D")</f>
        <v>Using Neuroscience for More Effective L&amp;D</v>
      </c>
      <c r="T9" s="140" t="str">
        <f ca="1">IFERROR(__xludf.DUMMYFUNCTION("""COMPUTED_VALUE"""),"Advance Your Skills as a Manager")</f>
        <v>Advance Your Skills as a Manager</v>
      </c>
      <c r="U9" s="134"/>
      <c r="V9" s="134"/>
    </row>
    <row r="10" spans="1:22" ht="33.75" customHeight="1" x14ac:dyDescent="0.15">
      <c r="A10" s="134"/>
      <c r="B10" s="134"/>
      <c r="C10" s="138">
        <f ca="1">IFERROR(__xludf.DUMMYFUNCTION("""COMPUTED_VALUE"""),5016699)</f>
        <v>5016699</v>
      </c>
      <c r="D10" s="138" t="str">
        <f ca="1">IFERROR(__xludf.DUMMYFUNCTION("""COMPUTED_VALUE"""),"Advanced")</f>
        <v>Advanced</v>
      </c>
      <c r="E10" s="139" t="str">
        <f ca="1">IFERROR(__xludf.DUMMYFUNCTION("""COMPUTED_VALUE"""),"Selling to the C-Suite")</f>
        <v>Selling to the C-Suite</v>
      </c>
      <c r="F10" s="142"/>
      <c r="G10" s="134"/>
      <c r="H10" s="134"/>
      <c r="I10" s="134"/>
      <c r="J10" s="138">
        <f ca="1">IFERROR(__xludf.DUMMYFUNCTION("""COMPUTED_VALUE"""),602861)</f>
        <v>602861</v>
      </c>
      <c r="K10" s="138" t="str">
        <f ca="1">IFERROR(__xludf.DUMMYFUNCTION("""COMPUTED_VALUE"""),"Advanced")</f>
        <v>Advanced</v>
      </c>
      <c r="L10" s="139" t="str">
        <f ca="1">IFERROR(__xludf.DUMMYFUNCTION("""COMPUTED_VALUE"""),"Strategic Agility")</f>
        <v>Strategic Agility</v>
      </c>
      <c r="M10" s="150" t="str">
        <f ca="1">IFERROR(__xludf.DUMMYFUNCTION("""COMPUTED_VALUE"""),"Become a Business Analyst")</f>
        <v>Become a Business Analyst</v>
      </c>
      <c r="N10" s="134"/>
      <c r="O10" s="134"/>
      <c r="P10" s="134"/>
      <c r="Q10" s="138">
        <f ca="1">IFERROR(__xludf.DUMMYFUNCTION("""COMPUTED_VALUE"""),2822467)</f>
        <v>2822467</v>
      </c>
      <c r="R10" s="138" t="str">
        <f ca="1">IFERROR(__xludf.DUMMYFUNCTION("""COMPUTED_VALUE"""),"Advanced")</f>
        <v>Advanced</v>
      </c>
      <c r="S10" s="139" t="str">
        <f ca="1">IFERROR(__xludf.DUMMYFUNCTION("""COMPUTED_VALUE"""),"Redefining Workplace Learning Analytics")</f>
        <v>Redefining Workplace Learning Analytics</v>
      </c>
      <c r="T10" s="150" t="str">
        <f ca="1">IFERROR(__xludf.DUMMYFUNCTION("""COMPUTED_VALUE"""),"Diversity, Inclusion and Belonging for Leaders and Managers")</f>
        <v>Diversity, Inclusion and Belonging for Leaders and Managers</v>
      </c>
      <c r="U10" s="134"/>
      <c r="V10" s="134"/>
    </row>
    <row r="11" spans="1:22" ht="33.75" customHeight="1" x14ac:dyDescent="0.15">
      <c r="A11" s="134"/>
      <c r="B11" s="134"/>
      <c r="C11" s="138">
        <f ca="1">IFERROR(__xludf.DUMMYFUNCTION("""COMPUTED_VALUE"""),193708)</f>
        <v>193708</v>
      </c>
      <c r="D11" s="138" t="str">
        <f ca="1">IFERROR(__xludf.DUMMYFUNCTION("""COMPUTED_VALUE"""),"Beginner")</f>
        <v>Beginner</v>
      </c>
      <c r="E11" s="139" t="str">
        <f ca="1">IFERROR(__xludf.DUMMYFUNCTION("""COMPUTED_VALUE"""),"Sales Foundations")</f>
        <v>Sales Foundations</v>
      </c>
      <c r="F11" s="141"/>
      <c r="G11" s="134"/>
      <c r="H11" s="134"/>
      <c r="I11" s="134"/>
      <c r="J11" s="138">
        <f ca="1">IFERROR(__xludf.DUMMYFUNCTION("""COMPUTED_VALUE"""),5028616)</f>
        <v>5028616</v>
      </c>
      <c r="K11" s="138" t="str">
        <f ca="1">IFERROR(__xludf.DUMMYFUNCTION("""COMPUTED_VALUE"""),"Advanced")</f>
        <v>Advanced</v>
      </c>
      <c r="L11" s="139" t="str">
        <f ca="1">IFERROR(__xludf.DUMMYFUNCTION("""COMPUTED_VALUE"""),"Strategic Partnerships: Ecosystems and Platforms")</f>
        <v>Strategic Partnerships: Ecosystems and Platforms</v>
      </c>
      <c r="M11" s="140" t="str">
        <f ca="1">IFERROR(__xludf.DUMMYFUNCTION("""COMPUTED_VALUE"""),"Applying Lean, DevOps, and Agile to Your IT Organization")</f>
        <v>Applying Lean, DevOps, and Agile to Your IT Organization</v>
      </c>
      <c r="N11" s="134"/>
      <c r="O11" s="134"/>
      <c r="P11" s="134"/>
      <c r="Q11" s="138">
        <f ca="1">IFERROR(__xludf.DUMMYFUNCTION("""COMPUTED_VALUE"""),427474)</f>
        <v>427474</v>
      </c>
      <c r="R11" s="138" t="str">
        <f ca="1">IFERROR(__xludf.DUMMYFUNCTION("""COMPUTED_VALUE"""),"Beginner")</f>
        <v>Beginner</v>
      </c>
      <c r="S11" s="139" t="str">
        <f ca="1">IFERROR(__xludf.DUMMYFUNCTION("""COMPUTED_VALUE"""),"Building Your Team")</f>
        <v>Building Your Team</v>
      </c>
      <c r="T11" s="140" t="str">
        <f ca="1">IFERROR(__xludf.DUMMYFUNCTION("""COMPUTED_VALUE"""),"Become a Senior Manager")</f>
        <v>Become a Senior Manager</v>
      </c>
      <c r="U11" s="134"/>
      <c r="V11" s="134"/>
    </row>
    <row r="12" spans="1:22" ht="33.75" customHeight="1" x14ac:dyDescent="0.15">
      <c r="A12" s="134"/>
      <c r="B12" s="134"/>
      <c r="C12" s="138">
        <f ca="1">IFERROR(__xludf.DUMMYFUNCTION("""COMPUTED_VALUE"""),371322)</f>
        <v>371322</v>
      </c>
      <c r="D12" s="138" t="str">
        <f ca="1">IFERROR(__xludf.DUMMYFUNCTION("""COMPUTED_VALUE"""),"Beginner")</f>
        <v>Beginner</v>
      </c>
      <c r="E12" s="139" t="str">
        <f ca="1">IFERROR(__xludf.DUMMYFUNCTION("""COMPUTED_VALUE"""),"Sales Management Foundations")</f>
        <v>Sales Management Foundations</v>
      </c>
      <c r="F12" s="141"/>
      <c r="G12" s="134"/>
      <c r="H12" s="134"/>
      <c r="I12" s="134"/>
      <c r="J12" s="138">
        <f ca="1">IFERROR(__xludf.DUMMYFUNCTION("""COMPUTED_VALUE"""),513605)</f>
        <v>513605</v>
      </c>
      <c r="K12" s="138" t="str">
        <f ca="1">IFERROR(__xludf.DUMMYFUNCTION("""COMPUTED_VALUE"""),"Advanced")</f>
        <v>Advanced</v>
      </c>
      <c r="L12" s="139" t="str">
        <f ca="1">IFERROR(__xludf.DUMMYFUNCTION("""COMPUTED_VALUE"""),"Strategies for Emerging Markets")</f>
        <v>Strategies for Emerging Markets</v>
      </c>
      <c r="M12" s="140" t="str">
        <f ca="1">IFERROR(__xludf.DUMMYFUNCTION("""COMPUTED_VALUE"""),"Digital Transformation for Leaders")</f>
        <v>Digital Transformation for Leaders</v>
      </c>
      <c r="N12" s="134"/>
      <c r="O12" s="134"/>
      <c r="P12" s="134"/>
      <c r="Q12" s="138">
        <f ca="1">IFERROR(__xludf.DUMMYFUNCTION("""COMPUTED_VALUE"""),456353)</f>
        <v>456353</v>
      </c>
      <c r="R12" s="138" t="str">
        <f ca="1">IFERROR(__xludf.DUMMYFUNCTION("""COMPUTED_VALUE"""),"Beginner")</f>
        <v>Beginner</v>
      </c>
      <c r="S12" s="139" t="str">
        <f ca="1">IFERROR(__xludf.DUMMYFUNCTION("""COMPUTED_VALUE"""),"Setting Team and Employee Goals Using SMART Methodology")</f>
        <v>Setting Team and Employee Goals Using SMART Methodology</v>
      </c>
      <c r="T12" s="141"/>
      <c r="U12" s="134"/>
      <c r="V12" s="134"/>
    </row>
    <row r="13" spans="1:22" ht="33.75" customHeight="1" x14ac:dyDescent="0.15">
      <c r="A13" s="134"/>
      <c r="B13" s="134"/>
      <c r="C13" s="138">
        <f ca="1">IFERROR(__xludf.DUMMYFUNCTION("""COMPUTED_VALUE"""),651189)</f>
        <v>651189</v>
      </c>
      <c r="D13" s="138" t="str">
        <f ca="1">IFERROR(__xludf.DUMMYFUNCTION("""COMPUTED_VALUE"""),"Beginner")</f>
        <v>Beginner</v>
      </c>
      <c r="E13" s="139" t="str">
        <f ca="1">IFERROR(__xludf.DUMMYFUNCTION("""COMPUTED_VALUE"""),"Networking for Sales Professionals")</f>
        <v>Networking for Sales Professionals</v>
      </c>
      <c r="F13" s="142"/>
      <c r="G13" s="134"/>
      <c r="H13" s="134"/>
      <c r="I13" s="134"/>
      <c r="J13" s="138">
        <f ca="1">IFERROR(__xludf.DUMMYFUNCTION("""COMPUTED_VALUE"""),2817142)</f>
        <v>2817142</v>
      </c>
      <c r="K13" s="138" t="str">
        <f ca="1">IFERROR(__xludf.DUMMYFUNCTION("""COMPUTED_VALUE"""),"Advanced")</f>
        <v>Advanced</v>
      </c>
      <c r="L13" s="139" t="str">
        <f ca="1">IFERROR(__xludf.DUMMYFUNCTION("""COMPUTED_VALUE"""),"Digital Strategy")</f>
        <v>Digital Strategy</v>
      </c>
      <c r="M13" s="150" t="str">
        <f ca="1">IFERROR(__xludf.DUMMYFUNCTION("""COMPUTED_VALUE"""),"Become a Corporate Financial Planning Analyst")</f>
        <v>Become a Corporate Financial Planning Analyst</v>
      </c>
      <c r="N13" s="134"/>
      <c r="O13" s="134"/>
      <c r="P13" s="134"/>
      <c r="Q13" s="138">
        <f ca="1">IFERROR(__xludf.DUMMYFUNCTION("""COMPUTED_VALUE"""),536419)</f>
        <v>536419</v>
      </c>
      <c r="R13" s="138" t="str">
        <f ca="1">IFERROR(__xludf.DUMMYFUNCTION("""COMPUTED_VALUE"""),"Beginner")</f>
        <v>Beginner</v>
      </c>
      <c r="S13" s="139" t="str">
        <f ca="1">IFERROR(__xludf.DUMMYFUNCTION("""COMPUTED_VALUE"""),"Talent Management")</f>
        <v>Talent Management</v>
      </c>
      <c r="T13" s="142"/>
      <c r="U13" s="134"/>
      <c r="V13" s="134"/>
    </row>
    <row r="14" spans="1:22" ht="33.75" customHeight="1" x14ac:dyDescent="0.15">
      <c r="A14" s="134"/>
      <c r="B14" s="134"/>
      <c r="C14" s="138">
        <f ca="1">IFERROR(__xludf.DUMMYFUNCTION("""COMPUTED_VALUE"""),802826)</f>
        <v>802826</v>
      </c>
      <c r="D14" s="138" t="str">
        <f ca="1">IFERROR(__xludf.DUMMYFUNCTION("""COMPUTED_VALUE"""),"Beginner")</f>
        <v>Beginner</v>
      </c>
      <c r="E14" s="139" t="str">
        <f ca="1">IFERROR(__xludf.DUMMYFUNCTION("""COMPUTED_VALUE"""),"Following Up after a Sales Meeting")</f>
        <v>Following Up after a Sales Meeting</v>
      </c>
      <c r="F14" s="141"/>
      <c r="G14" s="134"/>
      <c r="H14" s="134"/>
      <c r="I14" s="134"/>
      <c r="J14" s="138">
        <f ca="1">IFERROR(__xludf.DUMMYFUNCTION("""COMPUTED_VALUE"""),2822054)</f>
        <v>2822054</v>
      </c>
      <c r="K14" s="138" t="str">
        <f ca="1">IFERROR(__xludf.DUMMYFUNCTION("""COMPUTED_VALUE"""),"Advanced")</f>
        <v>Advanced</v>
      </c>
      <c r="L14" s="139" t="str">
        <f ca="1">IFERROR(__xludf.DUMMYFUNCTION("""COMPUTED_VALUE"""),"Digital Technologies Case Studies: AI, IOT, Robotics, Blockchain")</f>
        <v>Digital Technologies Case Studies: AI, IOT, Robotics, Blockchain</v>
      </c>
      <c r="M14" s="141"/>
      <c r="N14" s="134"/>
      <c r="O14" s="134"/>
      <c r="P14" s="134"/>
      <c r="Q14" s="138">
        <f ca="1">IFERROR(__xludf.DUMMYFUNCTION("""COMPUTED_VALUE"""),604211)</f>
        <v>604211</v>
      </c>
      <c r="R14" s="138" t="str">
        <f ca="1">IFERROR(__xludf.DUMMYFUNCTION("""COMPUTED_VALUE"""),"Beginner")</f>
        <v>Beginner</v>
      </c>
      <c r="S14" s="139" t="str">
        <f ca="1">IFERROR(__xludf.DUMMYFUNCTION("""COMPUTED_VALUE"""),"Managing High Performers")</f>
        <v>Managing High Performers</v>
      </c>
      <c r="T14" s="141"/>
      <c r="U14" s="134"/>
      <c r="V14" s="134"/>
    </row>
    <row r="15" spans="1:22" ht="33.75" customHeight="1" x14ac:dyDescent="0.15">
      <c r="A15" s="134"/>
      <c r="B15" s="134"/>
      <c r="C15" s="138">
        <f ca="1">IFERROR(__xludf.DUMMYFUNCTION("""COMPUTED_VALUE"""),2807101)</f>
        <v>2807101</v>
      </c>
      <c r="D15" s="138" t="str">
        <f ca="1">IFERROR(__xludf.DUMMYFUNCTION("""COMPUTED_VALUE"""),"Beginner")</f>
        <v>Beginner</v>
      </c>
      <c r="E15" s="139" t="str">
        <f ca="1">IFERROR(__xludf.DUMMYFUNCTION("""COMPUTED_VALUE"""),"Sales Discovery")</f>
        <v>Sales Discovery</v>
      </c>
      <c r="F15" s="141"/>
      <c r="G15" s="134"/>
      <c r="H15" s="134"/>
      <c r="I15" s="134"/>
      <c r="J15" s="138">
        <f ca="1">IFERROR(__xludf.DUMMYFUNCTION("""COMPUTED_VALUE"""),2822453)</f>
        <v>2822453</v>
      </c>
      <c r="K15" s="138" t="str">
        <f ca="1">IFERROR(__xludf.DUMMYFUNCTION("""COMPUTED_VALUE"""),"Advanced")</f>
        <v>Advanced</v>
      </c>
      <c r="L15" s="139" t="str">
        <f ca="1">IFERROR(__xludf.DUMMYFUNCTION("""COMPUTED_VALUE"""),"Driving Measurable, Sustainable Change")</f>
        <v>Driving Measurable, Sustainable Change</v>
      </c>
      <c r="M15" s="141"/>
      <c r="N15" s="134"/>
      <c r="O15" s="134"/>
      <c r="P15" s="134"/>
      <c r="Q15" s="138">
        <f ca="1">IFERROR(__xludf.DUMMYFUNCTION("""COMPUTED_VALUE"""),604213)</f>
        <v>604213</v>
      </c>
      <c r="R15" s="138" t="str">
        <f ca="1">IFERROR(__xludf.DUMMYFUNCTION("""COMPUTED_VALUE"""),"Beginner")</f>
        <v>Beginner</v>
      </c>
      <c r="S15" s="139" t="str">
        <f ca="1">IFERROR(__xludf.DUMMYFUNCTION("""COMPUTED_VALUE"""),"Managing High Potentials")</f>
        <v>Managing High Potentials</v>
      </c>
      <c r="T15" s="141"/>
      <c r="U15" s="134"/>
      <c r="V15" s="134"/>
    </row>
    <row r="16" spans="1:22" ht="33.75" customHeight="1" x14ac:dyDescent="0.15">
      <c r="A16" s="134"/>
      <c r="B16" s="134"/>
      <c r="C16" s="138">
        <f ca="1">IFERROR(__xludf.DUMMYFUNCTION("""COMPUTED_VALUE"""),2815116)</f>
        <v>2815116</v>
      </c>
      <c r="D16" s="138" t="str">
        <f ca="1">IFERROR(__xludf.DUMMYFUNCTION("""COMPUTED_VALUE"""),"Beginner")</f>
        <v>Beginner</v>
      </c>
      <c r="E16" s="139" t="str">
        <f ca="1">IFERROR(__xludf.DUMMYFUNCTION("""COMPUTED_VALUE"""),"Social Selling Foundations")</f>
        <v>Social Selling Foundations</v>
      </c>
      <c r="F16" s="141"/>
      <c r="G16" s="134"/>
      <c r="H16" s="134"/>
      <c r="I16" s="134"/>
      <c r="J16" s="138">
        <f ca="1">IFERROR(__xludf.DUMMYFUNCTION("""COMPUTED_VALUE"""),2823579)</f>
        <v>2823579</v>
      </c>
      <c r="K16" s="138" t="str">
        <f ca="1">IFERROR(__xludf.DUMMYFUNCTION("""COMPUTED_VALUE"""),"Advanced")</f>
        <v>Advanced</v>
      </c>
      <c r="L16" s="143" t="str">
        <f ca="1">IFERROR(__xludf.DUMMYFUNCTION("""COMPUTED_VALUE"""),"Adaptive Leadership for VUCA Challenges")</f>
        <v>Adaptive Leadership for VUCA Challenges</v>
      </c>
      <c r="M16" s="141"/>
      <c r="N16" s="134"/>
      <c r="O16" s="134"/>
      <c r="P16" s="134"/>
      <c r="Q16" s="138">
        <f ca="1">IFERROR(__xludf.DUMMYFUNCTION("""COMPUTED_VALUE"""),647657)</f>
        <v>647657</v>
      </c>
      <c r="R16" s="138" t="str">
        <f ca="1">IFERROR(__xludf.DUMMYFUNCTION("""COMPUTED_VALUE"""),"Beginner")</f>
        <v>Beginner</v>
      </c>
      <c r="S16" s="139" t="str">
        <f ca="1">IFERROR(__xludf.DUMMYFUNCTION("""COMPUTED_VALUE"""),"Boosting Your Team's Productivity")</f>
        <v>Boosting Your Team's Productivity</v>
      </c>
      <c r="T16" s="141"/>
      <c r="U16" s="134"/>
      <c r="V16" s="134"/>
    </row>
    <row r="17" spans="1:22" ht="33.75" customHeight="1" x14ac:dyDescent="0.15">
      <c r="A17" s="134"/>
      <c r="B17" s="134"/>
      <c r="C17" s="138">
        <f ca="1">IFERROR(__xludf.DUMMYFUNCTION("""COMPUTED_VALUE"""),2815120)</f>
        <v>2815120</v>
      </c>
      <c r="D17" s="138" t="str">
        <f ca="1">IFERROR(__xludf.DUMMYFUNCTION("""COMPUTED_VALUE"""),"Beginner")</f>
        <v>Beginner</v>
      </c>
      <c r="E17" s="139" t="str">
        <f ca="1">IFERROR(__xludf.DUMMYFUNCTION("""COMPUTED_VALUE"""),"Building a Competitive Matrix")</f>
        <v>Building a Competitive Matrix</v>
      </c>
      <c r="F17" s="141"/>
      <c r="G17" s="134"/>
      <c r="H17" s="134"/>
      <c r="I17" s="134"/>
      <c r="J17" s="138">
        <f ca="1">IFERROR(__xludf.DUMMYFUNCTION("""COMPUTED_VALUE"""),2841614)</f>
        <v>2841614</v>
      </c>
      <c r="K17" s="138" t="str">
        <f ca="1">IFERROR(__xludf.DUMMYFUNCTION("""COMPUTED_VALUE"""),"Beginner")</f>
        <v>Beginner</v>
      </c>
      <c r="L17" s="139" t="str">
        <f ca="1">IFERROR(__xludf.DUMMYFUNCTION("""COMPUTED_VALUE"""),"Designing an Authentic Brand")</f>
        <v>Designing an Authentic Brand</v>
      </c>
      <c r="M17" s="141"/>
      <c r="N17" s="134"/>
      <c r="O17" s="134"/>
      <c r="P17" s="134"/>
      <c r="Q17" s="138">
        <f ca="1">IFERROR(__xludf.DUMMYFUNCTION("""COMPUTED_VALUE"""),2825747)</f>
        <v>2825747</v>
      </c>
      <c r="R17" s="138" t="str">
        <f ca="1">IFERROR(__xludf.DUMMYFUNCTION("""COMPUTED_VALUE"""),"Beginner")</f>
        <v>Beginner</v>
      </c>
      <c r="S17" s="139" t="str">
        <f ca="1">IFERROR(__xludf.DUMMYFUNCTION("""COMPUTED_VALUE"""),"Women Transforming Tech: Tips for Career Success")</f>
        <v>Women Transforming Tech: Tips for Career Success</v>
      </c>
      <c r="T17" s="141"/>
      <c r="U17" s="134"/>
      <c r="V17" s="134"/>
    </row>
    <row r="18" spans="1:22" ht="33.75" customHeight="1" x14ac:dyDescent="0.15">
      <c r="A18" s="134"/>
      <c r="B18" s="134"/>
      <c r="C18" s="138">
        <f ca="1">IFERROR(__xludf.DUMMYFUNCTION("""COMPUTED_VALUE"""),2822580)</f>
        <v>2822580</v>
      </c>
      <c r="D18" s="138" t="str">
        <f ca="1">IFERROR(__xludf.DUMMYFUNCTION("""COMPUTED_VALUE"""),"Beginner")</f>
        <v>Beginner</v>
      </c>
      <c r="E18" s="139" t="str">
        <f ca="1">IFERROR(__xludf.DUMMYFUNCTION("""COMPUTED_VALUE"""),"Customer Success Management Fundamentals")</f>
        <v>Customer Success Management Fundamentals</v>
      </c>
      <c r="F18" s="141"/>
      <c r="G18" s="134"/>
      <c r="H18" s="134"/>
      <c r="I18" s="134"/>
      <c r="J18" s="138">
        <f ca="1">IFERROR(__xludf.DUMMYFUNCTION("""COMPUTED_VALUE"""),2849263)</f>
        <v>2849263</v>
      </c>
      <c r="K18" s="138" t="str">
        <f ca="1">IFERROR(__xludf.DUMMYFUNCTION("""COMPUTED_VALUE"""),"Beginner")</f>
        <v>Beginner</v>
      </c>
      <c r="L18" s="139" t="str">
        <f ca="1">IFERROR(__xludf.DUMMYFUNCTION("""COMPUTED_VALUE"""),"SAP ERP Essential Training")</f>
        <v>SAP ERP Essential Training</v>
      </c>
      <c r="M18" s="141"/>
      <c r="N18" s="134"/>
      <c r="O18" s="134"/>
      <c r="P18" s="134"/>
      <c r="Q18" s="138">
        <f ca="1">IFERROR(__xludf.DUMMYFUNCTION("""COMPUTED_VALUE"""),2854005)</f>
        <v>2854005</v>
      </c>
      <c r="R18" s="138" t="str">
        <f ca="1">IFERROR(__xludf.DUMMYFUNCTION("""COMPUTED_VALUE"""),"Beginner")</f>
        <v>Beginner</v>
      </c>
      <c r="S18" s="139" t="str">
        <f ca="1">IFERROR(__xludf.DUMMYFUNCTION("""COMPUTED_VALUE"""),"A Beginner's Guide to Finding Your Calling")</f>
        <v>A Beginner's Guide to Finding Your Calling</v>
      </c>
      <c r="T18" s="141"/>
      <c r="U18" s="134"/>
      <c r="V18" s="134"/>
    </row>
    <row r="19" spans="1:22" ht="33.75" customHeight="1" x14ac:dyDescent="0.15">
      <c r="A19" s="134"/>
      <c r="B19" s="134"/>
      <c r="C19" s="138">
        <f ca="1">IFERROR(__xludf.DUMMYFUNCTION("""COMPUTED_VALUE"""),2822581)</f>
        <v>2822581</v>
      </c>
      <c r="D19" s="138" t="str">
        <f ca="1">IFERROR(__xludf.DUMMYFUNCTION("""COMPUTED_VALUE"""),"Beginner")</f>
        <v>Beginner</v>
      </c>
      <c r="E19" s="139" t="str">
        <f ca="1">IFERROR(__xludf.DUMMYFUNCTION("""COMPUTED_VALUE"""),"Value Realization Best Practices for Customer Success Management")</f>
        <v>Value Realization Best Practices for Customer Success Management</v>
      </c>
      <c r="F19" s="141"/>
      <c r="G19" s="134"/>
      <c r="H19" s="134"/>
      <c r="I19" s="134"/>
      <c r="J19" s="138">
        <f ca="1">IFERROR(__xludf.DUMMYFUNCTION("""COMPUTED_VALUE"""),2841524)</f>
        <v>2841524</v>
      </c>
      <c r="K19" s="138" t="str">
        <f ca="1">IFERROR(__xludf.DUMMYFUNCTION("""COMPUTED_VALUE"""),"Beginner")</f>
        <v>Beginner</v>
      </c>
      <c r="L19" s="139" t="str">
        <f ca="1">IFERROR(__xludf.DUMMYFUNCTION("""COMPUTED_VALUE"""),"Learning Logo Design")</f>
        <v>Learning Logo Design</v>
      </c>
      <c r="M19" s="141"/>
      <c r="N19" s="134"/>
      <c r="O19" s="134"/>
      <c r="P19" s="134"/>
      <c r="Q19" s="138">
        <f ca="1">IFERROR(__xludf.DUMMYFUNCTION("""COMPUTED_VALUE"""),656791)</f>
        <v>656791</v>
      </c>
      <c r="R19" s="138" t="str">
        <f ca="1">IFERROR(__xludf.DUMMYFUNCTION("""COMPUTED_VALUE"""),"Beginner")</f>
        <v>Beginner</v>
      </c>
      <c r="S19" s="139" t="str">
        <f ca="1">IFERROR(__xludf.DUMMYFUNCTION("""COMPUTED_VALUE"""),"Executive Coaching")</f>
        <v>Executive Coaching</v>
      </c>
      <c r="T19" s="141"/>
      <c r="U19" s="134"/>
      <c r="V19" s="134"/>
    </row>
    <row r="20" spans="1:22" ht="33.75" customHeight="1" x14ac:dyDescent="0.15">
      <c r="A20" s="134"/>
      <c r="B20" s="134"/>
      <c r="C20" s="138">
        <f ca="1">IFERROR(__xludf.DUMMYFUNCTION("""COMPUTED_VALUE"""),2822582)</f>
        <v>2822582</v>
      </c>
      <c r="D20" s="138" t="str">
        <f ca="1">IFERROR(__xludf.DUMMYFUNCTION("""COMPUTED_VALUE"""),"Beginner")</f>
        <v>Beginner</v>
      </c>
      <c r="E20" s="139" t="str">
        <f ca="1">IFERROR(__xludf.DUMMYFUNCTION("""COMPUTED_VALUE"""),"Avoiding Common Pitfalls in Customer Success Management")</f>
        <v>Avoiding Common Pitfalls in Customer Success Management</v>
      </c>
      <c r="F20" s="141"/>
      <c r="G20" s="134"/>
      <c r="H20" s="134"/>
      <c r="I20" s="134"/>
      <c r="J20" s="138">
        <f ca="1">IFERROR(__xludf.DUMMYFUNCTION("""COMPUTED_VALUE"""),2811712)</f>
        <v>2811712</v>
      </c>
      <c r="K20" s="138" t="str">
        <f ca="1">IFERROR(__xludf.DUMMYFUNCTION("""COMPUTED_VALUE"""),"Beginner")</f>
        <v>Beginner</v>
      </c>
      <c r="L20" s="139" t="str">
        <f ca="1">IFERROR(__xludf.DUMMYFUNCTION("""COMPUTED_VALUE"""),"Aaron Dignan on Transformational Change")</f>
        <v>Aaron Dignan on Transformational Change</v>
      </c>
      <c r="M20" s="141"/>
      <c r="N20" s="134"/>
      <c r="O20" s="134"/>
      <c r="P20" s="134"/>
      <c r="Q20" s="138">
        <f ca="1">IFERROR(__xludf.DUMMYFUNCTION("""COMPUTED_VALUE"""),672246)</f>
        <v>672246</v>
      </c>
      <c r="R20" s="138" t="str">
        <f ca="1">IFERROR(__xludf.DUMMYFUNCTION("""COMPUTED_VALUE"""),"Beginner")</f>
        <v>Beginner</v>
      </c>
      <c r="S20" s="139" t="str">
        <f ca="1">IFERROR(__xludf.DUMMYFUNCTION("""COMPUTED_VALUE"""),"Ram Charan on Coaching High Potentials")</f>
        <v>Ram Charan on Coaching High Potentials</v>
      </c>
      <c r="T20" s="141"/>
      <c r="U20" s="134"/>
      <c r="V20" s="134"/>
    </row>
    <row r="21" spans="1:22" ht="33.75" customHeight="1" x14ac:dyDescent="0.15">
      <c r="A21" s="134"/>
      <c r="B21" s="134"/>
      <c r="C21" s="138">
        <f ca="1">IFERROR(__xludf.DUMMYFUNCTION("""COMPUTED_VALUE"""),2823488)</f>
        <v>2823488</v>
      </c>
      <c r="D21" s="138" t="str">
        <f ca="1">IFERROR(__xludf.DUMMYFUNCTION("""COMPUTED_VALUE"""),"Beginner")</f>
        <v>Beginner</v>
      </c>
      <c r="E21" s="139" t="str">
        <f ca="1">IFERROR(__xludf.DUMMYFUNCTION("""COMPUTED_VALUE"""),"Onboarding and Adoption Best Practices for Customer Success Management")</f>
        <v>Onboarding and Adoption Best Practices for Customer Success Management</v>
      </c>
      <c r="F21" s="141"/>
      <c r="G21" s="134"/>
      <c r="H21" s="134"/>
      <c r="I21" s="134"/>
      <c r="J21" s="138">
        <f ca="1">IFERROR(__xludf.DUMMYFUNCTION("""COMPUTED_VALUE"""),182403)</f>
        <v>182403</v>
      </c>
      <c r="K21" s="138" t="str">
        <f ca="1">IFERROR(__xludf.DUMMYFUNCTION("""COMPUTED_VALUE"""),"Beginner")</f>
        <v>Beginner</v>
      </c>
      <c r="L21" s="139" t="str">
        <f ca="1">IFERROR(__xludf.DUMMYFUNCTION("""COMPUTED_VALUE"""),"Developing a Competitive Strategy")</f>
        <v>Developing a Competitive Strategy</v>
      </c>
      <c r="M21" s="141"/>
      <c r="N21" s="134"/>
      <c r="O21" s="134"/>
      <c r="P21" s="134"/>
      <c r="Q21" s="138">
        <f ca="1">IFERROR(__xludf.DUMMYFUNCTION("""COMPUTED_VALUE"""),693069)</f>
        <v>693069</v>
      </c>
      <c r="R21" s="138" t="str">
        <f ca="1">IFERROR(__xludf.DUMMYFUNCTION("""COMPUTED_VALUE"""),"Beginner")</f>
        <v>Beginner</v>
      </c>
      <c r="S21" s="139" t="str">
        <f ca="1">IFERROR(__xludf.DUMMYFUNCTION("""COMPUTED_VALUE"""),"Delegating Tasks")</f>
        <v>Delegating Tasks</v>
      </c>
      <c r="T21" s="141"/>
      <c r="U21" s="134"/>
      <c r="V21" s="134"/>
    </row>
    <row r="22" spans="1:22" ht="33.75" customHeight="1" x14ac:dyDescent="0.15">
      <c r="A22" s="134"/>
      <c r="B22" s="134"/>
      <c r="C22" s="138">
        <f ca="1">IFERROR(__xludf.DUMMYFUNCTION("""COMPUTED_VALUE"""),2823513)</f>
        <v>2823513</v>
      </c>
      <c r="D22" s="138" t="str">
        <f ca="1">IFERROR(__xludf.DUMMYFUNCTION("""COMPUTED_VALUE"""),"Beginner")</f>
        <v>Beginner</v>
      </c>
      <c r="E22" s="139" t="str">
        <f ca="1">IFERROR(__xludf.DUMMYFUNCTION("""COMPUTED_VALUE"""),"Business Analytics: Sales Data")</f>
        <v>Business Analytics: Sales Data</v>
      </c>
      <c r="F22" s="141"/>
      <c r="G22" s="134"/>
      <c r="H22" s="134"/>
      <c r="I22" s="134"/>
      <c r="J22" s="138">
        <f ca="1">IFERROR(__xludf.DUMMYFUNCTION("""COMPUTED_VALUE"""),630592)</f>
        <v>630592</v>
      </c>
      <c r="K22" s="138" t="str">
        <f ca="1">IFERROR(__xludf.DUMMYFUNCTION("""COMPUTED_VALUE"""),"Beginner")</f>
        <v>Beginner</v>
      </c>
      <c r="L22" s="139" t="str">
        <f ca="1">IFERROR(__xludf.DUMMYFUNCTION("""COMPUTED_VALUE"""),"Strategic Thinking")</f>
        <v>Strategic Thinking</v>
      </c>
      <c r="M22" s="141"/>
      <c r="N22" s="134"/>
      <c r="O22" s="134"/>
      <c r="P22" s="134"/>
      <c r="Q22" s="138">
        <f ca="1">IFERROR(__xludf.DUMMYFUNCTION("""COMPUTED_VALUE"""),721895)</f>
        <v>721895</v>
      </c>
      <c r="R22" s="138" t="str">
        <f ca="1">IFERROR(__xludf.DUMMYFUNCTION("""COMPUTED_VALUE"""),"Beginner")</f>
        <v>Beginner</v>
      </c>
      <c r="S22" s="139" t="str">
        <f ca="1">IFERROR(__xludf.DUMMYFUNCTION("""COMPUTED_VALUE"""),"Foundations of Corporate Training")</f>
        <v>Foundations of Corporate Training</v>
      </c>
      <c r="T22" s="141"/>
      <c r="U22" s="134"/>
      <c r="V22" s="134"/>
    </row>
    <row r="23" spans="1:22" ht="33.75" customHeight="1" x14ac:dyDescent="0.15">
      <c r="A23" s="134"/>
      <c r="B23" s="134"/>
      <c r="C23" s="138">
        <f ca="1">IFERROR(__xludf.DUMMYFUNCTION("""COMPUTED_VALUE"""),2824080)</f>
        <v>2824080</v>
      </c>
      <c r="D23" s="138" t="str">
        <f ca="1">IFERROR(__xludf.DUMMYFUNCTION("""COMPUTED_VALUE"""),"Beginner")</f>
        <v>Beginner</v>
      </c>
      <c r="E23" s="139" t="str">
        <f ca="1">IFERROR(__xludf.DUMMYFUNCTION("""COMPUTED_VALUE"""),"Learn LinkedIn Sales Navigator")</f>
        <v>Learn LinkedIn Sales Navigator</v>
      </c>
      <c r="F23" s="141"/>
      <c r="G23" s="134"/>
      <c r="H23" s="134"/>
      <c r="I23" s="134"/>
      <c r="J23" s="138">
        <f ca="1">IFERROR(__xludf.DUMMYFUNCTION("""COMPUTED_VALUE"""),765312)</f>
        <v>765312</v>
      </c>
      <c r="K23" s="138" t="str">
        <f ca="1">IFERROR(__xludf.DUMMYFUNCTION("""COMPUTED_VALUE"""),"Beginner")</f>
        <v>Beginner</v>
      </c>
      <c r="L23" s="139" t="str">
        <f ca="1">IFERROR(__xludf.DUMMYFUNCTION("""COMPUTED_VALUE"""),"The New Age of Risk Management Strategy for Business")</f>
        <v>The New Age of Risk Management Strategy for Business</v>
      </c>
      <c r="M23" s="141"/>
      <c r="N23" s="134"/>
      <c r="O23" s="134"/>
      <c r="P23" s="134"/>
      <c r="Q23" s="138">
        <f ca="1">IFERROR(__xludf.DUMMYFUNCTION("""COMPUTED_VALUE"""),737767)</f>
        <v>737767</v>
      </c>
      <c r="R23" s="138" t="str">
        <f ca="1">IFERROR(__xludf.DUMMYFUNCTION("""COMPUTED_VALUE"""),"Beginner")</f>
        <v>Beginner</v>
      </c>
      <c r="S23" s="139" t="str">
        <f ca="1">IFERROR(__xludf.DUMMYFUNCTION("""COMPUTED_VALUE"""),"Lean Technology Strategy: Building High-Performing Teams")</f>
        <v>Lean Technology Strategy: Building High-Performing Teams</v>
      </c>
      <c r="T23" s="141"/>
      <c r="U23" s="134"/>
      <c r="V23" s="134"/>
    </row>
    <row r="24" spans="1:22" ht="33.75" customHeight="1" x14ac:dyDescent="0.15">
      <c r="A24" s="134"/>
      <c r="B24" s="134"/>
      <c r="C24" s="138">
        <f ca="1">IFERROR(__xludf.DUMMYFUNCTION("""COMPUTED_VALUE"""),2824204)</f>
        <v>2824204</v>
      </c>
      <c r="D24" s="138" t="str">
        <f ca="1">IFERROR(__xludf.DUMMYFUNCTION("""COMPUTED_VALUE"""),"Beginner")</f>
        <v>Beginner</v>
      </c>
      <c r="E24" s="139" t="str">
        <f ca="1">IFERROR(__xludf.DUMMYFUNCTION("""COMPUTED_VALUE"""),"Cold Calling Mastery")</f>
        <v>Cold Calling Mastery</v>
      </c>
      <c r="F24" s="141"/>
      <c r="G24" s="134"/>
      <c r="H24" s="134"/>
      <c r="I24" s="134"/>
      <c r="J24" s="138">
        <f ca="1">IFERROR(__xludf.DUMMYFUNCTION("""COMPUTED_VALUE"""),2813305)</f>
        <v>2813305</v>
      </c>
      <c r="K24" s="138" t="str">
        <f ca="1">IFERROR(__xludf.DUMMYFUNCTION("""COMPUTED_VALUE"""),"Beginner")</f>
        <v>Beginner</v>
      </c>
      <c r="L24" s="139" t="str">
        <f ca="1">IFERROR(__xludf.DUMMYFUNCTION("""COMPUTED_VALUE"""),"Developing Your Execution Strategy")</f>
        <v>Developing Your Execution Strategy</v>
      </c>
      <c r="M24" s="141"/>
      <c r="N24" s="134"/>
      <c r="O24" s="134"/>
      <c r="P24" s="134"/>
      <c r="Q24" s="138">
        <f ca="1">IFERROR(__xludf.DUMMYFUNCTION("""COMPUTED_VALUE"""),2805907)</f>
        <v>2805907</v>
      </c>
      <c r="R24" s="138" t="str">
        <f ca="1">IFERROR(__xludf.DUMMYFUNCTION("""COMPUTED_VALUE"""),"Beginner")</f>
        <v>Beginner</v>
      </c>
      <c r="S24" s="139" t="str">
        <f ca="1">IFERROR(__xludf.DUMMYFUNCTION("""COMPUTED_VALUE"""),"Women Transforming Tech: Finding Sponsors")</f>
        <v>Women Transforming Tech: Finding Sponsors</v>
      </c>
      <c r="T24" s="141"/>
      <c r="U24" s="134"/>
      <c r="V24" s="134"/>
    </row>
    <row r="25" spans="1:22" ht="33.75" customHeight="1" x14ac:dyDescent="0.15">
      <c r="A25" s="134"/>
      <c r="B25" s="134"/>
      <c r="C25" s="138">
        <f ca="1">IFERROR(__xludf.DUMMYFUNCTION("""COMPUTED_VALUE"""),2824265)</f>
        <v>2824265</v>
      </c>
      <c r="D25" s="138" t="str">
        <f ca="1">IFERROR(__xludf.DUMMYFUNCTION("""COMPUTED_VALUE"""),"Beginner")</f>
        <v>Beginner</v>
      </c>
      <c r="E25" s="139" t="str">
        <f ca="1">IFERROR(__xludf.DUMMYFUNCTION("""COMPUTED_VALUE"""),"Prepare Yourself for a Career in Sales")</f>
        <v>Prepare Yourself for a Career in Sales</v>
      </c>
      <c r="F25" s="141"/>
      <c r="G25" s="134"/>
      <c r="H25" s="134"/>
      <c r="I25" s="134"/>
      <c r="J25" s="138">
        <f ca="1">IFERROR(__xludf.DUMMYFUNCTION("""COMPUTED_VALUE"""),2814144)</f>
        <v>2814144</v>
      </c>
      <c r="K25" s="138" t="str">
        <f ca="1">IFERROR(__xludf.DUMMYFUNCTION("""COMPUTED_VALUE"""),"Beginner")</f>
        <v>Beginner</v>
      </c>
      <c r="L25" s="139" t="str">
        <f ca="1">IFERROR(__xludf.DUMMYFUNCTION("""COMPUTED_VALUE"""),"Defining and Segmenting Competition")</f>
        <v>Defining and Segmenting Competition</v>
      </c>
      <c r="M25" s="141"/>
      <c r="N25" s="134"/>
      <c r="O25" s="134"/>
      <c r="P25" s="134"/>
      <c r="Q25" s="138">
        <f ca="1">IFERROR(__xludf.DUMMYFUNCTION("""COMPUTED_VALUE"""),2807858)</f>
        <v>2807858</v>
      </c>
      <c r="R25" s="138" t="str">
        <f ca="1">IFERROR(__xludf.DUMMYFUNCTION("""COMPUTED_VALUE"""),"Beginner")</f>
        <v>Beginner</v>
      </c>
      <c r="S25" s="139" t="str">
        <f ca="1">IFERROR(__xludf.DUMMYFUNCTION("""COMPUTED_VALUE"""),"Women Transforming Tech: Getting Strategic with Your Career")</f>
        <v>Women Transforming Tech: Getting Strategic with Your Career</v>
      </c>
      <c r="T25" s="141"/>
      <c r="U25" s="134"/>
      <c r="V25" s="134"/>
    </row>
    <row r="26" spans="1:22" ht="33.75" customHeight="1" x14ac:dyDescent="0.15">
      <c r="A26" s="134"/>
      <c r="B26" s="134"/>
      <c r="C26" s="138">
        <f ca="1">IFERROR(__xludf.DUMMYFUNCTION("""COMPUTED_VALUE"""),2824356)</f>
        <v>2824356</v>
      </c>
      <c r="D26" s="138" t="str">
        <f ca="1">IFERROR(__xludf.DUMMYFUNCTION("""COMPUTED_VALUE"""),"Beginner")</f>
        <v>Beginner</v>
      </c>
      <c r="E26" s="139" t="str">
        <f ca="1">IFERROR(__xludf.DUMMYFUNCTION("""COMPUTED_VALUE"""),"Engagement Preparation Best Practices for Customer Success Management")</f>
        <v>Engagement Preparation Best Practices for Customer Success Management</v>
      </c>
      <c r="F26" s="141"/>
      <c r="G26" s="134"/>
      <c r="H26" s="134"/>
      <c r="I26" s="134"/>
      <c r="J26" s="138">
        <f ca="1">IFERROR(__xludf.DUMMYFUNCTION("""COMPUTED_VALUE"""),2814146)</f>
        <v>2814146</v>
      </c>
      <c r="K26" s="138" t="str">
        <f ca="1">IFERROR(__xludf.DUMMYFUNCTION("""COMPUTED_VALUE"""),"Beginner")</f>
        <v>Beginner</v>
      </c>
      <c r="L26" s="139" t="str">
        <f ca="1">IFERROR(__xludf.DUMMYFUNCTION("""COMPUTED_VALUE"""),"Market Trends and How to Identify Them")</f>
        <v>Market Trends and How to Identify Them</v>
      </c>
      <c r="M26" s="141"/>
      <c r="N26" s="134"/>
      <c r="O26" s="134"/>
      <c r="P26" s="134"/>
      <c r="Q26" s="138">
        <f ca="1">IFERROR(__xludf.DUMMYFUNCTION("""COMPUTED_VALUE"""),2823254)</f>
        <v>2823254</v>
      </c>
      <c r="R26" s="138" t="str">
        <f ca="1">IFERROR(__xludf.DUMMYFUNCTION("""COMPUTED_VALUE"""),"Beginner")</f>
        <v>Beginner</v>
      </c>
      <c r="S26" s="139" t="str">
        <f ca="1">IFERROR(__xludf.DUMMYFUNCTION("""COMPUTED_VALUE"""),"Rules for Rising Leaders")</f>
        <v>Rules for Rising Leaders</v>
      </c>
      <c r="T26" s="141"/>
      <c r="U26" s="134"/>
      <c r="V26" s="134"/>
    </row>
    <row r="27" spans="1:22" ht="33.75" customHeight="1" x14ac:dyDescent="0.15">
      <c r="A27" s="134"/>
      <c r="B27" s="134"/>
      <c r="C27" s="138">
        <f ca="1">IFERROR(__xludf.DUMMYFUNCTION("""COMPUTED_VALUE"""),2824357)</f>
        <v>2824357</v>
      </c>
      <c r="D27" s="138" t="str">
        <f ca="1">IFERROR(__xludf.DUMMYFUNCTION("""COMPUTED_VALUE"""),"Beginner")</f>
        <v>Beginner</v>
      </c>
      <c r="E27" s="139" t="str">
        <f ca="1">IFERROR(__xludf.DUMMYFUNCTION("""COMPUTED_VALUE"""),"Engagement Evaluation Best Practices for Customer Success Management")</f>
        <v>Engagement Evaluation Best Practices for Customer Success Management</v>
      </c>
      <c r="F27" s="141"/>
      <c r="G27" s="134"/>
      <c r="H27" s="134"/>
      <c r="I27" s="134"/>
      <c r="J27" s="138">
        <f ca="1">IFERROR(__xludf.DUMMYFUNCTION("""COMPUTED_VALUE"""),2814147)</f>
        <v>2814147</v>
      </c>
      <c r="K27" s="138" t="str">
        <f ca="1">IFERROR(__xludf.DUMMYFUNCTION("""COMPUTED_VALUE"""),"Beginner")</f>
        <v>Beginner</v>
      </c>
      <c r="L27" s="139" t="str">
        <f ca="1">IFERROR(__xludf.DUMMYFUNCTION("""COMPUTED_VALUE"""),"Creating a Unique Competitive Advantage")</f>
        <v>Creating a Unique Competitive Advantage</v>
      </c>
      <c r="M27" s="141"/>
      <c r="N27" s="134"/>
      <c r="O27" s="134"/>
      <c r="P27" s="134"/>
      <c r="Q27" s="138">
        <f ca="1">IFERROR(__xludf.DUMMYFUNCTION("""COMPUTED_VALUE"""),2825160)</f>
        <v>2825160</v>
      </c>
      <c r="R27" s="138" t="str">
        <f ca="1">IFERROR(__xludf.DUMMYFUNCTION("""COMPUTED_VALUE"""),"Beginner")</f>
        <v>Beginner</v>
      </c>
      <c r="S27" s="139" t="str">
        <f ca="1">IFERROR(__xludf.DUMMYFUNCTION("""COMPUTED_VALUE"""),"Make the Move from Individual Contributor to Manager")</f>
        <v>Make the Move from Individual Contributor to Manager</v>
      </c>
      <c r="T27" s="141"/>
      <c r="U27" s="134"/>
      <c r="V27" s="134"/>
    </row>
    <row r="28" spans="1:22" ht="33.75" customHeight="1" x14ac:dyDescent="0.15">
      <c r="A28" s="134"/>
      <c r="B28" s="134"/>
      <c r="C28" s="138">
        <f ca="1">IFERROR(__xludf.DUMMYFUNCTION("""COMPUTED_VALUE"""),2825375)</f>
        <v>2825375</v>
      </c>
      <c r="D28" s="138" t="str">
        <f ca="1">IFERROR(__xludf.DUMMYFUNCTION("""COMPUTED_VALUE"""),"Beginner")</f>
        <v>Beginner</v>
      </c>
      <c r="E28" s="139" t="str">
        <f ca="1">IFERROR(__xludf.DUMMYFUNCTION("""COMPUTED_VALUE"""),"Creating Your Sales Process")</f>
        <v>Creating Your Sales Process</v>
      </c>
      <c r="F28" s="141"/>
      <c r="G28" s="134"/>
      <c r="H28" s="134"/>
      <c r="I28" s="134"/>
      <c r="J28" s="138">
        <f ca="1">IFERROR(__xludf.DUMMYFUNCTION("""COMPUTED_VALUE"""),2825726)</f>
        <v>2825726</v>
      </c>
      <c r="K28" s="138" t="str">
        <f ca="1">IFERROR(__xludf.DUMMYFUNCTION("""COMPUTED_VALUE"""),"Beginner")</f>
        <v>Beginner</v>
      </c>
      <c r="L28" s="139" t="str">
        <f ca="1">IFERROR(__xludf.DUMMYFUNCTION("""COMPUTED_VALUE"""),"Azure: Understanding the Big Picture")</f>
        <v>Azure: Understanding the Big Picture</v>
      </c>
      <c r="M28" s="141"/>
      <c r="N28" s="134"/>
      <c r="O28" s="134"/>
      <c r="P28" s="134"/>
      <c r="Q28" s="138">
        <f ca="1">IFERROR(__xludf.DUMMYFUNCTION("""COMPUTED_VALUE"""),2822308)</f>
        <v>2822308</v>
      </c>
      <c r="R28" s="138" t="str">
        <f ca="1">IFERROR(__xludf.DUMMYFUNCTION("""COMPUTED_VALUE"""),"Beginner + Intermediate")</f>
        <v>Beginner + Intermediate</v>
      </c>
      <c r="S28" s="139" t="str">
        <f ca="1">IFERROR(__xludf.DUMMYFUNCTION("""COMPUTED_VALUE"""),"The Secrets to Success at Work")</f>
        <v>The Secrets to Success at Work</v>
      </c>
      <c r="T28" s="141"/>
      <c r="U28" s="134"/>
      <c r="V28" s="134"/>
    </row>
    <row r="29" spans="1:22" ht="33.75" customHeight="1" x14ac:dyDescent="0.15">
      <c r="A29" s="134"/>
      <c r="B29" s="134"/>
      <c r="C29" s="138">
        <f ca="1">IFERROR(__xludf.DUMMYFUNCTION("""COMPUTED_VALUE"""),2825603)</f>
        <v>2825603</v>
      </c>
      <c r="D29" s="138" t="str">
        <f ca="1">IFERROR(__xludf.DUMMYFUNCTION("""COMPUTED_VALUE"""),"Beginner")</f>
        <v>Beginner</v>
      </c>
      <c r="E29" s="139" t="str">
        <f ca="1">IFERROR(__xludf.DUMMYFUNCTION("""COMPUTED_VALUE"""),"Business Fundamentals for Customer Success Managers")</f>
        <v>Business Fundamentals for Customer Success Managers</v>
      </c>
      <c r="F29" s="141"/>
      <c r="G29" s="134"/>
      <c r="H29" s="134"/>
      <c r="I29" s="134"/>
      <c r="J29" s="138">
        <f ca="1">IFERROR(__xludf.DUMMYFUNCTION("""COMPUTED_VALUE"""),2822592)</f>
        <v>2822592</v>
      </c>
      <c r="K29" s="138" t="str">
        <f ca="1">IFERROR(__xludf.DUMMYFUNCTION("""COMPUTED_VALUE"""),"Beginner")</f>
        <v>Beginner</v>
      </c>
      <c r="L29" s="139" t="str">
        <f ca="1">IFERROR(__xludf.DUMMYFUNCTION("""COMPUTED_VALUE"""),"Introduction to Business Analytics")</f>
        <v>Introduction to Business Analytics</v>
      </c>
      <c r="M29" s="141"/>
      <c r="N29" s="134"/>
      <c r="O29" s="134"/>
      <c r="P29" s="134"/>
      <c r="Q29" s="138">
        <f ca="1">IFERROR(__xludf.DUMMYFUNCTION("""COMPUTED_VALUE"""),2825161)</f>
        <v>2825161</v>
      </c>
      <c r="R29" s="138" t="str">
        <f ca="1">IFERROR(__xludf.DUMMYFUNCTION("""COMPUTED_VALUE"""),"Beginner + Intermediate")</f>
        <v>Beginner + Intermediate</v>
      </c>
      <c r="S29" s="139" t="str">
        <f ca="1">IFERROR(__xludf.DUMMYFUNCTION("""COMPUTED_VALUE"""),"Goal Setting: Objectives and Key Results (OKRs)")</f>
        <v>Goal Setting: Objectives and Key Results (OKRs)</v>
      </c>
      <c r="T29" s="141"/>
      <c r="U29" s="134"/>
      <c r="V29" s="134"/>
    </row>
    <row r="30" spans="1:22" ht="33.75" customHeight="1" x14ac:dyDescent="0.15">
      <c r="A30" s="134"/>
      <c r="B30" s="134"/>
      <c r="C30" s="138">
        <f ca="1">IFERROR(__xludf.DUMMYFUNCTION("""COMPUTED_VALUE"""),2972232)</f>
        <v>2972232</v>
      </c>
      <c r="D30" s="138" t="str">
        <f ca="1">IFERROR(__xludf.DUMMYFUNCTION("""COMPUTED_VALUE"""),"Beginner")</f>
        <v>Beginner</v>
      </c>
      <c r="E30" s="139" t="str">
        <f ca="1">IFERROR(__xludf.DUMMYFUNCTION("""COMPUTED_VALUE"""),"Sales Fundamentals")</f>
        <v>Sales Fundamentals</v>
      </c>
      <c r="F30" s="141"/>
      <c r="G30" s="134"/>
      <c r="H30" s="134"/>
      <c r="I30" s="134"/>
      <c r="J30" s="138">
        <f ca="1">IFERROR(__xludf.DUMMYFUNCTION("""COMPUTED_VALUE"""),2852006)</f>
        <v>2852006</v>
      </c>
      <c r="K30" s="138" t="str">
        <f ca="1">IFERROR(__xludf.DUMMYFUNCTION("""COMPUTED_VALUE"""),"Beginner")</f>
        <v>Beginner</v>
      </c>
      <c r="L30" s="139" t="str">
        <f ca="1">IFERROR(__xludf.DUMMYFUNCTION("""COMPUTED_VALUE"""),"Evaluating and Evolving Your Business Model")</f>
        <v>Evaluating and Evolving Your Business Model</v>
      </c>
      <c r="M30" s="141"/>
      <c r="N30" s="134"/>
      <c r="O30" s="134"/>
      <c r="P30" s="134"/>
      <c r="Q30" s="138">
        <f ca="1">IFERROR(__xludf.DUMMYFUNCTION("""COMPUTED_VALUE"""),2825489)</f>
        <v>2825489</v>
      </c>
      <c r="R30" s="138" t="str">
        <f ca="1">IFERROR(__xludf.DUMMYFUNCTION("""COMPUTED_VALUE"""),"Beginner + Intermediate")</f>
        <v>Beginner + Intermediate</v>
      </c>
      <c r="S30" s="139" t="str">
        <f ca="1">IFERROR(__xludf.DUMMYFUNCTION("""COMPUTED_VALUE"""),"Recognizing and Rewarding Your Workers")</f>
        <v>Recognizing and Rewarding Your Workers</v>
      </c>
      <c r="T30" s="141"/>
      <c r="U30" s="134"/>
      <c r="V30" s="134"/>
    </row>
    <row r="31" spans="1:22" ht="33.75" customHeight="1" x14ac:dyDescent="0.15">
      <c r="A31" s="134"/>
      <c r="B31" s="134"/>
      <c r="C31" s="138">
        <f ca="1">IFERROR(__xludf.DUMMYFUNCTION("""COMPUTED_VALUE"""),2974328)</f>
        <v>2974328</v>
      </c>
      <c r="D31" s="138" t="str">
        <f ca="1">IFERROR(__xludf.DUMMYFUNCTION("""COMPUTED_VALUE"""),"Beginner")</f>
        <v>Beginner</v>
      </c>
      <c r="E31" s="139" t="str">
        <f ca="1">IFERROR(__xludf.DUMMYFUNCTION("""COMPUTED_VALUE"""),"Cold Calling: Overcoming Sales Objections")</f>
        <v>Cold Calling: Overcoming Sales Objections</v>
      </c>
      <c r="F31" s="141"/>
      <c r="G31" s="134"/>
      <c r="H31" s="134"/>
      <c r="I31" s="134"/>
      <c r="J31" s="138">
        <f ca="1">IFERROR(__xludf.DUMMYFUNCTION("""COMPUTED_VALUE"""),2815108)</f>
        <v>2815108</v>
      </c>
      <c r="K31" s="138" t="str">
        <f ca="1">IFERROR(__xludf.DUMMYFUNCTION("""COMPUTED_VALUE"""),"Beginner + Intermediate")</f>
        <v>Beginner + Intermediate</v>
      </c>
      <c r="L31" s="139" t="str">
        <f ca="1">IFERROR(__xludf.DUMMYFUNCTION("""COMPUTED_VALUE"""),"Your Product or Service Strategy Explained")</f>
        <v>Your Product or Service Strategy Explained</v>
      </c>
      <c r="M31" s="141"/>
      <c r="N31" s="134"/>
      <c r="O31" s="134"/>
      <c r="P31" s="134"/>
      <c r="Q31" s="138">
        <f ca="1">IFERROR(__xludf.DUMMYFUNCTION("""COMPUTED_VALUE"""),2825600)</f>
        <v>2825600</v>
      </c>
      <c r="R31" s="138" t="str">
        <f ca="1">IFERROR(__xludf.DUMMYFUNCTION("""COMPUTED_VALUE"""),"Beginner + Intermediate")</f>
        <v>Beginner + Intermediate</v>
      </c>
      <c r="S31" s="139" t="str">
        <f ca="1">IFERROR(__xludf.DUMMYFUNCTION("""COMPUTED_VALUE"""),"Increase Visibility to Advance Your Career")</f>
        <v>Increase Visibility to Advance Your Career</v>
      </c>
      <c r="T31" s="141"/>
      <c r="U31" s="134"/>
      <c r="V31" s="134"/>
    </row>
    <row r="32" spans="1:22" ht="33.75" customHeight="1" x14ac:dyDescent="0.15">
      <c r="A32" s="134"/>
      <c r="B32" s="134"/>
      <c r="C32" s="138">
        <f ca="1">IFERROR(__xludf.DUMMYFUNCTION("""COMPUTED_VALUE"""),5016707)</f>
        <v>5016707</v>
      </c>
      <c r="D32" s="138" t="str">
        <f ca="1">IFERROR(__xludf.DUMMYFUNCTION("""COMPUTED_VALUE"""),"Beginner")</f>
        <v>Beginner</v>
      </c>
      <c r="E32" s="139" t="str">
        <f ca="1">IFERROR(__xludf.DUMMYFUNCTION("""COMPUTED_VALUE"""),"Selling with Authenticity")</f>
        <v>Selling with Authenticity</v>
      </c>
      <c r="F32" s="141"/>
      <c r="G32" s="134"/>
      <c r="H32" s="134"/>
      <c r="I32" s="134"/>
      <c r="J32" s="138">
        <f ca="1">IFERROR(__xludf.DUMMYFUNCTION("""COMPUTED_VALUE"""),2825161)</f>
        <v>2825161</v>
      </c>
      <c r="K32" s="138" t="str">
        <f ca="1">IFERROR(__xludf.DUMMYFUNCTION("""COMPUTED_VALUE"""),"Beginner + Intermediate")</f>
        <v>Beginner + Intermediate</v>
      </c>
      <c r="L32" s="139" t="str">
        <f ca="1">IFERROR(__xludf.DUMMYFUNCTION("""COMPUTED_VALUE"""),"Goal Setting: Objectives and Key Results (OKRs)")</f>
        <v>Goal Setting: Objectives and Key Results (OKRs)</v>
      </c>
      <c r="M32" s="141"/>
      <c r="N32" s="134"/>
      <c r="O32" s="134"/>
      <c r="P32" s="134"/>
      <c r="Q32" s="138">
        <f ca="1">IFERROR(__xludf.DUMMYFUNCTION("""COMPUTED_VALUE"""),622050)</f>
        <v>622050</v>
      </c>
      <c r="R32" s="138" t="str">
        <f ca="1">IFERROR(__xludf.DUMMYFUNCTION("""COMPUTED_VALUE"""),"Beginner + Intermediate")</f>
        <v>Beginner + Intermediate</v>
      </c>
      <c r="S32" s="139" t="str">
        <f ca="1">IFERROR(__xludf.DUMMYFUNCTION("""COMPUTED_VALUE"""),"Developing Adaptable Employees")</f>
        <v>Developing Adaptable Employees</v>
      </c>
      <c r="T32" s="141"/>
      <c r="U32" s="134"/>
      <c r="V32" s="134"/>
    </row>
    <row r="33" spans="1:22" ht="33.75" customHeight="1" x14ac:dyDescent="0.15">
      <c r="A33" s="134"/>
      <c r="B33" s="134"/>
      <c r="C33" s="138">
        <f ca="1">IFERROR(__xludf.DUMMYFUNCTION("""COMPUTED_VALUE"""),2837268)</f>
        <v>2837268</v>
      </c>
      <c r="D33" s="138" t="str">
        <f ca="1">IFERROR(__xludf.DUMMYFUNCTION("""COMPUTED_VALUE"""),"Beginner")</f>
        <v>Beginner</v>
      </c>
      <c r="E33" s="139" t="str">
        <f ca="1">IFERROR(__xludf.DUMMYFUNCTION("""COMPUTED_VALUE"""),"Jeffrey Gitomer’s Little Red Book of Sales Answers (getAbstract Summary)")</f>
        <v>Jeffrey Gitomer’s Little Red Book of Sales Answers (getAbstract Summary)</v>
      </c>
      <c r="F33" s="141"/>
      <c r="G33" s="134"/>
      <c r="H33" s="134"/>
      <c r="I33" s="134"/>
      <c r="J33" s="138">
        <f ca="1">IFERROR(__xludf.DUMMYFUNCTION("""COMPUTED_VALUE"""),2824021)</f>
        <v>2824021</v>
      </c>
      <c r="K33" s="138" t="str">
        <f ca="1">IFERROR(__xludf.DUMMYFUNCTION("""COMPUTED_VALUE"""),"Beginner + Intermediate")</f>
        <v>Beginner + Intermediate</v>
      </c>
      <c r="L33" s="139" t="str">
        <f ca="1">IFERROR(__xludf.DUMMYFUNCTION("""COMPUTED_VALUE"""),"Safeguarding AI")</f>
        <v>Safeguarding AI</v>
      </c>
      <c r="M33" s="141"/>
      <c r="N33" s="134"/>
      <c r="O33" s="134"/>
      <c r="P33" s="134"/>
      <c r="Q33" s="138">
        <f ca="1">IFERROR(__xludf.DUMMYFUNCTION("""COMPUTED_VALUE"""),622053)</f>
        <v>622053</v>
      </c>
      <c r="R33" s="138" t="str">
        <f ca="1">IFERROR(__xludf.DUMMYFUNCTION("""COMPUTED_VALUE"""),"Beginner + Intermediate")</f>
        <v>Beginner + Intermediate</v>
      </c>
      <c r="S33" s="139" t="str">
        <f ca="1">IFERROR(__xludf.DUMMYFUNCTION("""COMPUTED_VALUE"""),"Giving and Receiving Feedback")</f>
        <v>Giving and Receiving Feedback</v>
      </c>
      <c r="T33" s="141"/>
      <c r="U33" s="134"/>
      <c r="V33" s="134"/>
    </row>
    <row r="34" spans="1:22" ht="33.75" customHeight="1" x14ac:dyDescent="0.15">
      <c r="A34" s="134"/>
      <c r="B34" s="134"/>
      <c r="C34" s="138">
        <f ca="1">IFERROR(__xludf.DUMMYFUNCTION("""COMPUTED_VALUE"""),2848077)</f>
        <v>2848077</v>
      </c>
      <c r="D34" s="138" t="str">
        <f ca="1">IFERROR(__xludf.DUMMYFUNCTION("""COMPUTED_VALUE"""),"Beginner")</f>
        <v>Beginner</v>
      </c>
      <c r="E34" s="139" t="str">
        <f ca="1">IFERROR(__xludf.DUMMYFUNCTION("""COMPUTED_VALUE"""),"Cold Calling Business Leaders")</f>
        <v>Cold Calling Business Leaders</v>
      </c>
      <c r="F34" s="141"/>
      <c r="G34" s="134"/>
      <c r="H34" s="134"/>
      <c r="I34" s="134"/>
      <c r="J34" s="138">
        <f ca="1">IFERROR(__xludf.DUMMYFUNCTION("""COMPUTED_VALUE"""),2848327)</f>
        <v>2848327</v>
      </c>
      <c r="K34" s="138" t="str">
        <f ca="1">IFERROR(__xludf.DUMMYFUNCTION("""COMPUTED_VALUE"""),"Beginner + Intermediate")</f>
        <v>Beginner + Intermediate</v>
      </c>
      <c r="L34" s="139" t="str">
        <f ca="1">IFERROR(__xludf.DUMMYFUNCTION("""COMPUTED_VALUE"""),"The 45-Minute Business Plan")</f>
        <v>The 45-Minute Business Plan</v>
      </c>
      <c r="M34" s="141"/>
      <c r="N34" s="134"/>
      <c r="O34" s="134"/>
      <c r="P34" s="134"/>
      <c r="Q34" s="138">
        <f ca="1">IFERROR(__xludf.DUMMYFUNCTION("""COMPUTED_VALUE"""),661748)</f>
        <v>661748</v>
      </c>
      <c r="R34" s="138" t="str">
        <f ca="1">IFERROR(__xludf.DUMMYFUNCTION("""COMPUTED_VALUE"""),"Beginner + Intermediate")</f>
        <v>Beginner + Intermediate</v>
      </c>
      <c r="S34" s="139" t="str">
        <f ca="1">IFERROR(__xludf.DUMMYFUNCTION("""COMPUTED_VALUE"""),"Rewarding Employee Performance")</f>
        <v>Rewarding Employee Performance</v>
      </c>
      <c r="T34" s="141"/>
      <c r="U34" s="134"/>
      <c r="V34" s="134"/>
    </row>
    <row r="35" spans="1:22" ht="33.75" customHeight="1" x14ac:dyDescent="0.15">
      <c r="A35" s="134"/>
      <c r="B35" s="134"/>
      <c r="C35" s="138">
        <f ca="1">IFERROR(__xludf.DUMMYFUNCTION("""COMPUTED_VALUE"""),2849195)</f>
        <v>2849195</v>
      </c>
      <c r="D35" s="138" t="str">
        <f ca="1">IFERROR(__xludf.DUMMYFUNCTION("""COMPUTED_VALUE"""),"Beginner")</f>
        <v>Beginner</v>
      </c>
      <c r="E35" s="139" t="str">
        <f ca="1">IFERROR(__xludf.DUMMYFUNCTION("""COMPUTED_VALUE"""),"How to Tell Stories That Win Market Share")</f>
        <v>How to Tell Stories That Win Market Share</v>
      </c>
      <c r="F35" s="141"/>
      <c r="G35" s="134"/>
      <c r="H35" s="134"/>
      <c r="I35" s="134"/>
      <c r="J35" s="138">
        <f ca="1">IFERROR(__xludf.DUMMYFUNCTION("""COMPUTED_VALUE"""),696327)</f>
        <v>696327</v>
      </c>
      <c r="K35" s="138" t="str">
        <f ca="1">IFERROR(__xludf.DUMMYFUNCTION("""COMPUTED_VALUE"""),"Beginner + Intermediate")</f>
        <v>Beginner + Intermediate</v>
      </c>
      <c r="L35" s="139" t="str">
        <f ca="1">IFERROR(__xludf.DUMMYFUNCTION("""COMPUTED_VALUE"""),"Strategic Partnerships")</f>
        <v>Strategic Partnerships</v>
      </c>
      <c r="M35" s="141"/>
      <c r="N35" s="134"/>
      <c r="O35" s="134"/>
      <c r="P35" s="134"/>
      <c r="Q35" s="138">
        <f ca="1">IFERROR(__xludf.DUMMYFUNCTION("""COMPUTED_VALUE"""),661750)</f>
        <v>661750</v>
      </c>
      <c r="R35" s="138" t="str">
        <f ca="1">IFERROR(__xludf.DUMMYFUNCTION("""COMPUTED_VALUE"""),"Beginner + Intermediate")</f>
        <v>Beginner + Intermediate</v>
      </c>
      <c r="S35" s="139" t="str">
        <f ca="1">IFERROR(__xludf.DUMMYFUNCTION("""COMPUTED_VALUE"""),"Improving Employee Performance")</f>
        <v>Improving Employee Performance</v>
      </c>
      <c r="T35" s="141"/>
      <c r="U35" s="134"/>
      <c r="V35" s="134"/>
    </row>
    <row r="36" spans="1:22" ht="33.75" customHeight="1" x14ac:dyDescent="0.15">
      <c r="A36" s="134"/>
      <c r="B36" s="134"/>
      <c r="C36" s="138">
        <f ca="1">IFERROR(__xludf.DUMMYFUNCTION("""COMPUTED_VALUE"""),2863038)</f>
        <v>2863038</v>
      </c>
      <c r="D36" s="138" t="str">
        <f ca="1">IFERROR(__xludf.DUMMYFUNCTION("""COMPUTED_VALUE"""),"Beginner + Intermediate")</f>
        <v>Beginner + Intermediate</v>
      </c>
      <c r="E36" s="139" t="str">
        <f ca="1">IFERROR(__xludf.DUMMYFUNCTION("""COMPUTED_VALUE"""),"Creating Powerful Sales Proposals")</f>
        <v>Creating Powerful Sales Proposals</v>
      </c>
      <c r="F36" s="141"/>
      <c r="G36" s="134"/>
      <c r="H36" s="134"/>
      <c r="I36" s="134"/>
      <c r="J36" s="138">
        <f ca="1">IFERROR(__xludf.DUMMYFUNCTION("""COMPUTED_VALUE"""),2825458)</f>
        <v>2825458</v>
      </c>
      <c r="K36" s="138" t="str">
        <f ca="1">IFERROR(__xludf.DUMMYFUNCTION("""COMPUTED_VALUE"""),"General")</f>
        <v>General</v>
      </c>
      <c r="L36" s="139" t="str">
        <f ca="1">IFERROR(__xludf.DUMMYFUNCTION("""COMPUTED_VALUE"""),"Emily Cohen: Brutal Honesty as a Business Strategy")</f>
        <v>Emily Cohen: Brutal Honesty as a Business Strategy</v>
      </c>
      <c r="M36" s="141"/>
      <c r="N36" s="134"/>
      <c r="O36" s="134"/>
      <c r="P36" s="134"/>
      <c r="Q36" s="138">
        <f ca="1">IFERROR(__xludf.DUMMYFUNCTION("""COMPUTED_VALUE"""),688508)</f>
        <v>688508</v>
      </c>
      <c r="R36" s="138" t="str">
        <f ca="1">IFERROR(__xludf.DUMMYFUNCTION("""COMPUTED_VALUE"""),"Beginner + Intermediate")</f>
        <v>Beginner + Intermediate</v>
      </c>
      <c r="S36" s="139" t="str">
        <f ca="1">IFERROR(__xludf.DUMMYFUNCTION("""COMPUTED_VALUE"""),"Motivating and Engaging Employees")</f>
        <v>Motivating and Engaging Employees</v>
      </c>
      <c r="T36" s="141"/>
      <c r="U36" s="134"/>
      <c r="V36" s="134"/>
    </row>
    <row r="37" spans="1:22" ht="33.75" customHeight="1" x14ac:dyDescent="0.15">
      <c r="A37" s="134"/>
      <c r="B37" s="134"/>
      <c r="C37" s="138">
        <f ca="1">IFERROR(__xludf.DUMMYFUNCTION("""COMPUTED_VALUE"""),520214)</f>
        <v>520214</v>
      </c>
      <c r="D37" s="138" t="str">
        <f ca="1">IFERROR(__xludf.DUMMYFUNCTION("""COMPUTED_VALUE"""),"Beginner + Intermediate")</f>
        <v>Beginner + Intermediate</v>
      </c>
      <c r="E37" s="139" t="str">
        <f ca="1">IFERROR(__xludf.DUMMYFUNCTION("""COMPUTED_VALUE"""),"Transitioning to Management for Salespeople")</f>
        <v>Transitioning to Management for Salespeople</v>
      </c>
      <c r="F37" s="141"/>
      <c r="G37" s="134"/>
      <c r="H37" s="134"/>
      <c r="I37" s="134"/>
      <c r="J37" s="138">
        <f ca="1">IFERROR(__xludf.DUMMYFUNCTION("""COMPUTED_VALUE"""),2244041)</f>
        <v>2244041</v>
      </c>
      <c r="K37" s="138" t="str">
        <f ca="1">IFERROR(__xludf.DUMMYFUNCTION("""COMPUTED_VALUE"""),"General")</f>
        <v>General</v>
      </c>
      <c r="L37" s="139" t="str">
        <f ca="1">IFERROR(__xludf.DUMMYFUNCTION("""COMPUTED_VALUE"""),"Strategy: A History (getAbstract Summary)")</f>
        <v>Strategy: A History (getAbstract Summary)</v>
      </c>
      <c r="M37" s="141"/>
      <c r="N37" s="134"/>
      <c r="O37" s="134"/>
      <c r="P37" s="134"/>
      <c r="Q37" s="138">
        <f ca="1">IFERROR(__xludf.DUMMYFUNCTION("""COMPUTED_VALUE"""),802842)</f>
        <v>802842</v>
      </c>
      <c r="R37" s="138" t="str">
        <f ca="1">IFERROR(__xludf.DUMMYFUNCTION("""COMPUTED_VALUE"""),"Beginner + Intermediate")</f>
        <v>Beginner + Intermediate</v>
      </c>
      <c r="S37" s="139" t="str">
        <f ca="1">IFERROR(__xludf.DUMMYFUNCTION("""COMPUTED_VALUE"""),"Coaching and Developing Employees")</f>
        <v>Coaching and Developing Employees</v>
      </c>
      <c r="T37" s="141"/>
      <c r="U37" s="134"/>
      <c r="V37" s="134"/>
    </row>
    <row r="38" spans="1:22" ht="33.75" customHeight="1" x14ac:dyDescent="0.15">
      <c r="A38" s="134"/>
      <c r="B38" s="134"/>
      <c r="C38" s="138">
        <f ca="1">IFERROR(__xludf.DUMMYFUNCTION("""COMPUTED_VALUE"""),574679)</f>
        <v>574679</v>
      </c>
      <c r="D38" s="138" t="str">
        <f ca="1">IFERROR(__xludf.DUMMYFUNCTION("""COMPUTED_VALUE"""),"Beginner + Intermediate")</f>
        <v>Beginner + Intermediate</v>
      </c>
      <c r="E38" s="139" t="str">
        <f ca="1">IFERROR(__xludf.DUMMYFUNCTION("""COMPUTED_VALUE"""),"Customer Retention")</f>
        <v>Customer Retention</v>
      </c>
      <c r="F38" s="141"/>
      <c r="G38" s="134"/>
      <c r="H38" s="134"/>
      <c r="I38" s="134"/>
      <c r="J38" s="138">
        <f ca="1">IFERROR(__xludf.DUMMYFUNCTION("""COMPUTED_VALUE"""),2835087)</f>
        <v>2835087</v>
      </c>
      <c r="K38" s="138" t="str">
        <f ca="1">IFERROR(__xludf.DUMMYFUNCTION("""COMPUTED_VALUE"""),"General")</f>
        <v>General</v>
      </c>
      <c r="L38" s="139" t="str">
        <f ca="1">IFERROR(__xludf.DUMMYFUNCTION("""COMPUTED_VALUE"""),"How to Make Strategic Thinking a Habit")</f>
        <v>How to Make Strategic Thinking a Habit</v>
      </c>
      <c r="M38" s="141"/>
      <c r="N38" s="134"/>
      <c r="O38" s="134"/>
      <c r="P38" s="134"/>
      <c r="Q38" s="138">
        <f ca="1">IFERROR(__xludf.DUMMYFUNCTION("""COMPUTED_VALUE"""),5015861)</f>
        <v>5015861</v>
      </c>
      <c r="R38" s="138" t="str">
        <f ca="1">IFERROR(__xludf.DUMMYFUNCTION("""COMPUTED_VALUE"""),"Beginner + Intermediate")</f>
        <v>Beginner + Intermediate</v>
      </c>
      <c r="S38" s="139" t="str">
        <f ca="1">IFERROR(__xludf.DUMMYFUNCTION("""COMPUTED_VALUE"""),"Delivering Employee Feedback")</f>
        <v>Delivering Employee Feedback</v>
      </c>
      <c r="T38" s="141"/>
      <c r="U38" s="134"/>
      <c r="V38" s="134"/>
    </row>
    <row r="39" spans="1:22" ht="33.75" customHeight="1" x14ac:dyDescent="0.15">
      <c r="A39" s="134"/>
      <c r="B39" s="134"/>
      <c r="C39" s="138">
        <f ca="1">IFERROR(__xludf.DUMMYFUNCTION("""COMPUTED_VALUE"""),602885)</f>
        <v>602885</v>
      </c>
      <c r="D39" s="138" t="str">
        <f ca="1">IFERROR(__xludf.DUMMYFUNCTION("""COMPUTED_VALUE"""),"Beginner + Intermediate")</f>
        <v>Beginner + Intermediate</v>
      </c>
      <c r="E39" s="139" t="str">
        <f ca="1">IFERROR(__xludf.DUMMYFUNCTION("""COMPUTED_VALUE"""),"Business-to-Business Sales")</f>
        <v>Business-to-Business Sales</v>
      </c>
      <c r="F39" s="141"/>
      <c r="G39" s="134"/>
      <c r="H39" s="134"/>
      <c r="I39" s="134"/>
      <c r="J39" s="138">
        <f ca="1">IFERROR(__xludf.DUMMYFUNCTION("""COMPUTED_VALUE"""),2817223)</f>
        <v>2817223</v>
      </c>
      <c r="K39" s="138" t="str">
        <f ca="1">IFERROR(__xludf.DUMMYFUNCTION("""COMPUTED_VALUE"""),"General")</f>
        <v>General</v>
      </c>
      <c r="L39" s="139" t="str">
        <f ca="1">IFERROR(__xludf.DUMMYFUNCTION("""COMPUTED_VALUE"""),"Thinking In New Boxes: A New Paradigm for Business Creativity")</f>
        <v>Thinking In New Boxes: A New Paradigm for Business Creativity</v>
      </c>
      <c r="M39" s="141"/>
      <c r="N39" s="134"/>
      <c r="O39" s="134"/>
      <c r="P39" s="134"/>
      <c r="Q39" s="138">
        <f ca="1">IFERROR(__xludf.DUMMYFUNCTION("""COMPUTED_VALUE"""),2824254)</f>
        <v>2824254</v>
      </c>
      <c r="R39" s="138" t="str">
        <f ca="1">IFERROR(__xludf.DUMMYFUNCTION("""COMPUTED_VALUE"""),"Beginner + Intermediate")</f>
        <v>Beginner + Intermediate</v>
      </c>
      <c r="S39" s="139" t="str">
        <f ca="1">IFERROR(__xludf.DUMMYFUNCTION("""COMPUTED_VALUE"""),"How to Be a Good Mentee and Mentor")</f>
        <v>How to Be a Good Mentee and Mentor</v>
      </c>
      <c r="T39" s="141"/>
      <c r="U39" s="134"/>
      <c r="V39" s="134"/>
    </row>
    <row r="40" spans="1:22" ht="33.75" customHeight="1" x14ac:dyDescent="0.15">
      <c r="A40" s="134"/>
      <c r="B40" s="134"/>
      <c r="C40" s="138">
        <f ca="1">IFERROR(__xludf.DUMMYFUNCTION("""COMPUTED_VALUE"""),612173)</f>
        <v>612173</v>
      </c>
      <c r="D40" s="138" t="str">
        <f ca="1">IFERROR(__xludf.DUMMYFUNCTION("""COMPUTED_VALUE"""),"Beginner + Intermediate")</f>
        <v>Beginner + Intermediate</v>
      </c>
      <c r="E40" s="139" t="str">
        <f ca="1">IFERROR(__xludf.DUMMYFUNCTION("""COMPUTED_VALUE"""),"Selling to Executives")</f>
        <v>Selling to Executives</v>
      </c>
      <c r="F40" s="141"/>
      <c r="G40" s="134"/>
      <c r="H40" s="134"/>
      <c r="I40" s="134"/>
      <c r="J40" s="138">
        <f ca="1">IFERROR(__xludf.DUMMYFUNCTION("""COMPUTED_VALUE"""),2243043)</f>
        <v>2243043</v>
      </c>
      <c r="K40" s="138" t="str">
        <f ca="1">IFERROR(__xludf.DUMMYFUNCTION("""COMPUTED_VALUE"""),"General")</f>
        <v>General</v>
      </c>
      <c r="L40" s="139" t="str">
        <f ca="1">IFERROR(__xludf.DUMMYFUNCTION("""COMPUTED_VALUE"""),"The Secret: What Great Leaders Know and Do (getAbstract Summary)")</f>
        <v>The Secret: What Great Leaders Know and Do (getAbstract Summary)</v>
      </c>
      <c r="M40" s="141"/>
      <c r="N40" s="134"/>
      <c r="O40" s="134"/>
      <c r="P40" s="134"/>
      <c r="Q40" s="138">
        <f ca="1">IFERROR(__xludf.DUMMYFUNCTION("""COMPUTED_VALUE"""),2241058)</f>
        <v>2241058</v>
      </c>
      <c r="R40" s="138" t="str">
        <f ca="1">IFERROR(__xludf.DUMMYFUNCTION("""COMPUTED_VALUE"""),"General")</f>
        <v>General</v>
      </c>
      <c r="S40" s="139" t="str">
        <f ca="1">IFERROR(__xludf.DUMMYFUNCTION("""COMPUTED_VALUE"""),"Why Motivating People Doesn’t Work . . . and What Does (getAbstract Summary)")</f>
        <v>Why Motivating People Doesn’t Work . . . and What Does (getAbstract Summary)</v>
      </c>
      <c r="T40" s="141"/>
      <c r="U40" s="134"/>
      <c r="V40" s="134"/>
    </row>
    <row r="41" spans="1:22" ht="33.75" customHeight="1" x14ac:dyDescent="0.15">
      <c r="A41" s="134"/>
      <c r="B41" s="134"/>
      <c r="C41" s="138">
        <f ca="1">IFERROR(__xludf.DUMMYFUNCTION("""COMPUTED_VALUE"""),148625)</f>
        <v>148625</v>
      </c>
      <c r="D41" s="138" t="str">
        <f ca="1">IFERROR(__xludf.DUMMYFUNCTION("""COMPUTED_VALUE"""),"General")</f>
        <v>General</v>
      </c>
      <c r="E41" s="139" t="str">
        <f ca="1">IFERROR(__xludf.DUMMYFUNCTION("""COMPUTED_VALUE"""),"Influencing Others")</f>
        <v>Influencing Others</v>
      </c>
      <c r="F41" s="141"/>
      <c r="G41" s="134"/>
      <c r="H41" s="134"/>
      <c r="I41" s="134"/>
      <c r="J41" s="138">
        <f ca="1">IFERROR(__xludf.DUMMYFUNCTION("""COMPUTED_VALUE"""),2818050)</f>
        <v>2818050</v>
      </c>
      <c r="K41" s="138" t="str">
        <f ca="1">IFERROR(__xludf.DUMMYFUNCTION("""COMPUTED_VALUE"""),"General")</f>
        <v>General</v>
      </c>
      <c r="L41" s="139" t="str">
        <f ca="1">IFERROR(__xludf.DUMMYFUNCTION("""COMPUTED_VALUE"""),"Technology and Design Ethics")</f>
        <v>Technology and Design Ethics</v>
      </c>
      <c r="M41" s="141"/>
      <c r="N41" s="134"/>
      <c r="O41" s="134"/>
      <c r="P41" s="134"/>
      <c r="Q41" s="138">
        <f ca="1">IFERROR(__xludf.DUMMYFUNCTION("""COMPUTED_VALUE"""),2242045)</f>
        <v>2242045</v>
      </c>
      <c r="R41" s="138" t="str">
        <f ca="1">IFERROR(__xludf.DUMMYFUNCTION("""COMPUTED_VALUE"""),"General")</f>
        <v>General</v>
      </c>
      <c r="S41" s="139" t="str">
        <f ca="1">IFERROR(__xludf.DUMMYFUNCTION("""COMPUTED_VALUE"""),"The Purpose Effect (getAbstract Summary)")</f>
        <v>The Purpose Effect (getAbstract Summary)</v>
      </c>
      <c r="T41" s="141"/>
      <c r="U41" s="134"/>
      <c r="V41" s="134"/>
    </row>
    <row r="42" spans="1:22" ht="33.75" customHeight="1" x14ac:dyDescent="0.15">
      <c r="A42" s="134"/>
      <c r="B42" s="134"/>
      <c r="C42" s="138">
        <f ca="1">IFERROR(__xludf.DUMMYFUNCTION("""COMPUTED_VALUE"""),2800332)</f>
        <v>2800332</v>
      </c>
      <c r="D42" s="138" t="str">
        <f ca="1">IFERROR(__xludf.DUMMYFUNCTION("""COMPUTED_VALUE"""),"General")</f>
        <v>General</v>
      </c>
      <c r="E42" s="139" t="str">
        <f ca="1">IFERROR(__xludf.DUMMYFUNCTION("""COMPUTED_VALUE"""),"Running a Design Business: Writing and Pricing Winning Proposals")</f>
        <v>Running a Design Business: Writing and Pricing Winning Proposals</v>
      </c>
      <c r="F42" s="141"/>
      <c r="G42" s="134"/>
      <c r="H42" s="134"/>
      <c r="I42" s="134"/>
      <c r="J42" s="138">
        <f ca="1">IFERROR(__xludf.DUMMYFUNCTION("""COMPUTED_VALUE"""),2809588)</f>
        <v>2809588</v>
      </c>
      <c r="K42" s="138" t="str">
        <f ca="1">IFERROR(__xludf.DUMMYFUNCTION("""COMPUTED_VALUE"""),"General")</f>
        <v>General</v>
      </c>
      <c r="L42" s="139" t="str">
        <f ca="1">IFERROR(__xludf.DUMMYFUNCTION("""COMPUTED_VALUE"""),"Following the Digital Thread")</f>
        <v>Following the Digital Thread</v>
      </c>
      <c r="M42" s="141"/>
      <c r="N42" s="134"/>
      <c r="O42" s="134"/>
      <c r="P42" s="134"/>
      <c r="Q42" s="138">
        <f ca="1">IFERROR(__xludf.DUMMYFUNCTION("""COMPUTED_VALUE"""),2243049)</f>
        <v>2243049</v>
      </c>
      <c r="R42" s="138" t="str">
        <f ca="1">IFERROR(__xludf.DUMMYFUNCTION("""COMPUTED_VALUE"""),"General")</f>
        <v>General</v>
      </c>
      <c r="S42" s="139" t="str">
        <f ca="1">IFERROR(__xludf.DUMMYFUNCTION("""COMPUTED_VALUE"""),"Bring Your Human to Work (getAbstract Summary)")</f>
        <v>Bring Your Human to Work (getAbstract Summary)</v>
      </c>
      <c r="T42" s="141"/>
      <c r="U42" s="134"/>
      <c r="V42" s="134"/>
    </row>
    <row r="43" spans="1:22" ht="33.75" customHeight="1" x14ac:dyDescent="0.15">
      <c r="A43" s="134"/>
      <c r="B43" s="134"/>
      <c r="C43" s="138">
        <f ca="1">IFERROR(__xludf.DUMMYFUNCTION("""COMPUTED_VALUE"""),2822652)</f>
        <v>2822652</v>
      </c>
      <c r="D43" s="138" t="str">
        <f ca="1">IFERROR(__xludf.DUMMYFUNCTION("""COMPUTED_VALUE"""),"General")</f>
        <v>General</v>
      </c>
      <c r="E43" s="139" t="str">
        <f ca="1">IFERROR(__xludf.DUMMYFUNCTION("""COMPUTED_VALUE"""),"Just Ask: Dean Karrel on Sales")</f>
        <v>Just Ask: Dean Karrel on Sales</v>
      </c>
      <c r="F43" s="141"/>
      <c r="G43" s="134"/>
      <c r="H43" s="134"/>
      <c r="I43" s="134"/>
      <c r="J43" s="138">
        <f ca="1">IFERROR(__xludf.DUMMYFUNCTION("""COMPUTED_VALUE"""),2849197)</f>
        <v>2849197</v>
      </c>
      <c r="K43" s="138" t="str">
        <f ca="1">IFERROR(__xludf.DUMMYFUNCTION("""COMPUTED_VALUE"""),"Intermediate")</f>
        <v>Intermediate</v>
      </c>
      <c r="L43" s="139" t="str">
        <f ca="1">IFERROR(__xludf.DUMMYFUNCTION("""COMPUTED_VALUE"""),"Leading with Next-Generation KPIs, with Michael Schrage")</f>
        <v>Leading with Next-Generation KPIs, with Michael Schrage</v>
      </c>
      <c r="M43" s="141"/>
      <c r="N43" s="134"/>
      <c r="O43" s="134"/>
      <c r="P43" s="134"/>
      <c r="Q43" s="138">
        <f ca="1">IFERROR(__xludf.DUMMYFUNCTION("""COMPUTED_VALUE"""),2819211)</f>
        <v>2819211</v>
      </c>
      <c r="R43" s="138" t="str">
        <f ca="1">IFERROR(__xludf.DUMMYFUNCTION("""COMPUTED_VALUE"""),"General")</f>
        <v>General</v>
      </c>
      <c r="S43" s="139" t="str">
        <f ca="1">IFERROR(__xludf.DUMMYFUNCTION("""COMPUTED_VALUE"""),"All You Have to Do Is Ask: How to Ask for Help When You Need It")</f>
        <v>All You Have to Do Is Ask: How to Ask for Help When You Need It</v>
      </c>
      <c r="T43" s="141"/>
      <c r="U43" s="134"/>
      <c r="V43" s="134"/>
    </row>
    <row r="44" spans="1:22" ht="33.75" customHeight="1" x14ac:dyDescent="0.15">
      <c r="A44" s="134"/>
      <c r="B44" s="134"/>
      <c r="C44" s="138">
        <f ca="1">IFERROR(__xludf.DUMMYFUNCTION("""COMPUTED_VALUE"""),2837265)</f>
        <v>2837265</v>
      </c>
      <c r="D44" s="138" t="str">
        <f ca="1">IFERROR(__xludf.DUMMYFUNCTION("""COMPUTED_VALUE"""),"General")</f>
        <v>General</v>
      </c>
      <c r="E44" s="139" t="str">
        <f ca="1">IFERROR(__xludf.DUMMYFUNCTION("""COMPUTED_VALUE"""),"Sales Management. Simplified. (Blinkist Summary)")</f>
        <v>Sales Management. Simplified. (Blinkist Summary)</v>
      </c>
      <c r="F44" s="141"/>
      <c r="G44" s="134"/>
      <c r="H44" s="134"/>
      <c r="I44" s="134"/>
      <c r="J44" s="138">
        <f ca="1">IFERROR(__xludf.DUMMYFUNCTION("""COMPUTED_VALUE"""),2833101)</f>
        <v>2833101</v>
      </c>
      <c r="K44" s="138" t="str">
        <f ca="1">IFERROR(__xludf.DUMMYFUNCTION("""COMPUTED_VALUE"""),"Intermediate")</f>
        <v>Intermediate</v>
      </c>
      <c r="L44" s="139" t="str">
        <f ca="1">IFERROR(__xludf.DUMMYFUNCTION("""COMPUTED_VALUE"""),"Content Marketing: ROI")</f>
        <v>Content Marketing: ROI</v>
      </c>
      <c r="M44" s="141"/>
      <c r="N44" s="134"/>
      <c r="O44" s="134"/>
      <c r="P44" s="134"/>
      <c r="Q44" s="138">
        <f ca="1">IFERROR(__xludf.DUMMYFUNCTION("""COMPUTED_VALUE"""),2822163)</f>
        <v>2822163</v>
      </c>
      <c r="R44" s="138" t="str">
        <f ca="1">IFERROR(__xludf.DUMMYFUNCTION("""COMPUTED_VALUE"""),"General")</f>
        <v>General</v>
      </c>
      <c r="S44" s="139" t="str">
        <f ca="1">IFERROR(__xludf.DUMMYFUNCTION("""COMPUTED_VALUE"""),"How to Succeed in a Case Study Interview")</f>
        <v>How to Succeed in a Case Study Interview</v>
      </c>
      <c r="T44" s="141"/>
      <c r="U44" s="134"/>
      <c r="V44" s="134"/>
    </row>
    <row r="45" spans="1:22" ht="33.75" customHeight="1" x14ac:dyDescent="0.15">
      <c r="A45" s="134"/>
      <c r="B45" s="134"/>
      <c r="C45" s="138">
        <f ca="1">IFERROR(__xludf.DUMMYFUNCTION("""COMPUTED_VALUE"""),2839081)</f>
        <v>2839081</v>
      </c>
      <c r="D45" s="138" t="str">
        <f ca="1">IFERROR(__xludf.DUMMYFUNCTION("""COMPUTED_VALUE"""),"General")</f>
        <v>General</v>
      </c>
      <c r="E45" s="139" t="str">
        <f ca="1">IFERROR(__xludf.DUMMYFUNCTION("""COMPUTED_VALUE"""),"Flip the Script: A Toolkit for Sellers and Negotiators (Blinkist Summary)")</f>
        <v>Flip the Script: A Toolkit for Sellers and Negotiators (Blinkist Summary)</v>
      </c>
      <c r="F45" s="141"/>
      <c r="G45" s="134"/>
      <c r="H45" s="134"/>
      <c r="I45" s="134"/>
      <c r="J45" s="138">
        <f ca="1">IFERROR(__xludf.DUMMYFUNCTION("""COMPUTED_VALUE"""),2825616)</f>
        <v>2825616</v>
      </c>
      <c r="K45" s="138" t="str">
        <f ca="1">IFERROR(__xludf.DUMMYFUNCTION("""COMPUTED_VALUE"""),"Intermediate")</f>
        <v>Intermediate</v>
      </c>
      <c r="L45" s="139" t="str">
        <f ca="1">IFERROR(__xludf.DUMMYFUNCTION("""COMPUTED_VALUE"""),"Finance Strategies for Business Leaders")</f>
        <v>Finance Strategies for Business Leaders</v>
      </c>
      <c r="M45" s="141"/>
      <c r="N45" s="134"/>
      <c r="O45" s="134"/>
      <c r="P45" s="134"/>
      <c r="Q45" s="138">
        <f ca="1">IFERROR(__xludf.DUMMYFUNCTION("""COMPUTED_VALUE"""),2823559)</f>
        <v>2823559</v>
      </c>
      <c r="R45" s="138" t="str">
        <f ca="1">IFERROR(__xludf.DUMMYFUNCTION("""COMPUTED_VALUE"""),"Intermediate")</f>
        <v>Intermediate</v>
      </c>
      <c r="S45" s="139" t="str">
        <f ca="1">IFERROR(__xludf.DUMMYFUNCTION("""COMPUTED_VALUE"""),"The Future of Workplace Learning")</f>
        <v>The Future of Workplace Learning</v>
      </c>
      <c r="T45" s="141"/>
      <c r="U45" s="134"/>
      <c r="V45" s="134"/>
    </row>
    <row r="46" spans="1:22" ht="33.75" customHeight="1" x14ac:dyDescent="0.15">
      <c r="A46" s="134"/>
      <c r="B46" s="134"/>
      <c r="C46" s="138">
        <f ca="1">IFERROR(__xludf.DUMMYFUNCTION("""COMPUTED_VALUE"""),193711)</f>
        <v>193711</v>
      </c>
      <c r="D46" s="138" t="str">
        <f ca="1">IFERROR(__xludf.DUMMYFUNCTION("""COMPUTED_VALUE"""),"Intermediate")</f>
        <v>Intermediate</v>
      </c>
      <c r="E46" s="139" t="str">
        <f ca="1">IFERROR(__xludf.DUMMYFUNCTION("""COMPUTED_VALUE"""),"The Science of Sales")</f>
        <v>The Science of Sales</v>
      </c>
      <c r="F46" s="141"/>
      <c r="G46" s="134"/>
      <c r="H46" s="134"/>
      <c r="I46" s="134"/>
      <c r="J46" s="138">
        <f ca="1">IFERROR(__xludf.DUMMYFUNCTION("""COMPUTED_VALUE"""),2833073)</f>
        <v>2833073</v>
      </c>
      <c r="K46" s="138" t="str">
        <f ca="1">IFERROR(__xludf.DUMMYFUNCTION("""COMPUTED_VALUE"""),"Intermediate")</f>
        <v>Intermediate</v>
      </c>
      <c r="L46" s="139" t="str">
        <f ca="1">IFERROR(__xludf.DUMMYFUNCTION("""COMPUTED_VALUE"""),"Create a Go-to-Market Plan")</f>
        <v>Create a Go-to-Market Plan</v>
      </c>
      <c r="M46" s="141"/>
      <c r="N46" s="134"/>
      <c r="O46" s="134"/>
      <c r="P46" s="134"/>
      <c r="Q46" s="138">
        <f ca="1">IFERROR(__xludf.DUMMYFUNCTION("""COMPUTED_VALUE"""),167028)</f>
        <v>167028</v>
      </c>
      <c r="R46" s="138" t="str">
        <f ca="1">IFERROR(__xludf.DUMMYFUNCTION("""COMPUTED_VALUE"""),"Intermediate")</f>
        <v>Intermediate</v>
      </c>
      <c r="S46" s="139" t="str">
        <f ca="1">IFERROR(__xludf.DUMMYFUNCTION("""COMPUTED_VALUE"""),"Building High-Performance Teams")</f>
        <v>Building High-Performance Teams</v>
      </c>
      <c r="T46" s="141"/>
      <c r="U46" s="134"/>
      <c r="V46" s="134"/>
    </row>
    <row r="47" spans="1:22" ht="33.75" customHeight="1" x14ac:dyDescent="0.15">
      <c r="A47" s="134"/>
      <c r="B47" s="134"/>
      <c r="C47" s="138">
        <f ca="1">IFERROR(__xludf.DUMMYFUNCTION("""COMPUTED_VALUE"""),415358)</f>
        <v>415358</v>
      </c>
      <c r="D47" s="138" t="str">
        <f ca="1">IFERROR(__xludf.DUMMYFUNCTION("""COMPUTED_VALUE"""),"Intermediate")</f>
        <v>Intermediate</v>
      </c>
      <c r="E47" s="139" t="str">
        <f ca="1">IFERROR(__xludf.DUMMYFUNCTION("""COMPUTED_VALUE"""),"Sales Prospecting")</f>
        <v>Sales Prospecting</v>
      </c>
      <c r="F47" s="141"/>
      <c r="G47" s="134"/>
      <c r="H47" s="134"/>
      <c r="I47" s="134"/>
      <c r="J47" s="138">
        <f ca="1">IFERROR(__xludf.DUMMYFUNCTION("""COMPUTED_VALUE"""),599596)</f>
        <v>599596</v>
      </c>
      <c r="K47" s="138" t="str">
        <f ca="1">IFERROR(__xludf.DUMMYFUNCTION("""COMPUTED_VALUE"""),"Intermediate")</f>
        <v>Intermediate</v>
      </c>
      <c r="L47" s="139" t="str">
        <f ca="1">IFERROR(__xludf.DUMMYFUNCTION("""COMPUTED_VALUE"""),"Assessing and Improving Strategic Plans")</f>
        <v>Assessing and Improving Strategic Plans</v>
      </c>
      <c r="M47" s="141"/>
      <c r="N47" s="134"/>
      <c r="O47" s="134"/>
      <c r="P47" s="134"/>
      <c r="Q47" s="138">
        <f ca="1">IFERROR(__xludf.DUMMYFUNCTION("""COMPUTED_VALUE"""),585227)</f>
        <v>585227</v>
      </c>
      <c r="R47" s="138" t="str">
        <f ca="1">IFERROR(__xludf.DUMMYFUNCTION("""COMPUTED_VALUE"""),"Intermediate")</f>
        <v>Intermediate</v>
      </c>
      <c r="S47" s="139" t="str">
        <f ca="1">IFERROR(__xludf.DUMMYFUNCTION("""COMPUTED_VALUE"""),"Measuring Team Performance")</f>
        <v>Measuring Team Performance</v>
      </c>
      <c r="T47" s="141"/>
      <c r="U47" s="134"/>
      <c r="V47" s="134"/>
    </row>
    <row r="48" spans="1:22" ht="33.75" customHeight="1" x14ac:dyDescent="0.15">
      <c r="A48" s="134"/>
      <c r="B48" s="134"/>
      <c r="C48" s="138">
        <f ca="1">IFERROR(__xludf.DUMMYFUNCTION("""COMPUTED_VALUE"""),415362)</f>
        <v>415362</v>
      </c>
      <c r="D48" s="138" t="str">
        <f ca="1">IFERROR(__xludf.DUMMYFUNCTION("""COMPUTED_VALUE"""),"Intermediate")</f>
        <v>Intermediate</v>
      </c>
      <c r="E48" s="139" t="str">
        <f ca="1">IFERROR(__xludf.DUMMYFUNCTION("""COMPUTED_VALUE"""),"Making Great Sales Presentations")</f>
        <v>Making Great Sales Presentations</v>
      </c>
      <c r="F48" s="152"/>
      <c r="G48" s="134"/>
      <c r="H48" s="134"/>
      <c r="I48" s="134"/>
      <c r="J48" s="138">
        <f ca="1">IFERROR(__xludf.DUMMYFUNCTION("""COMPUTED_VALUE"""),592485)</f>
        <v>592485</v>
      </c>
      <c r="K48" s="138" t="str">
        <f ca="1">IFERROR(__xludf.DUMMYFUNCTION("""COMPUTED_VALUE"""),"Intermediate")</f>
        <v>Intermediate</v>
      </c>
      <c r="L48" s="139" t="str">
        <f ca="1">IFERROR(__xludf.DUMMYFUNCTION("""COMPUTED_VALUE"""),"Business Development Foundations")</f>
        <v>Business Development Foundations</v>
      </c>
      <c r="M48" s="141"/>
      <c r="N48" s="134"/>
      <c r="O48" s="134"/>
      <c r="P48" s="134"/>
      <c r="Q48" s="138">
        <f ca="1">IFERROR(__xludf.DUMMYFUNCTION("""COMPUTED_VALUE"""),592488)</f>
        <v>592488</v>
      </c>
      <c r="R48" s="138" t="str">
        <f ca="1">IFERROR(__xludf.DUMMYFUNCTION("""COMPUTED_VALUE"""),"Intermediate")</f>
        <v>Intermediate</v>
      </c>
      <c r="S48" s="139" t="str">
        <f ca="1">IFERROR(__xludf.DUMMYFUNCTION("""COMPUTED_VALUE"""),"Coaching for Results")</f>
        <v>Coaching for Results</v>
      </c>
      <c r="T48" s="141"/>
      <c r="U48" s="134"/>
      <c r="V48" s="134"/>
    </row>
    <row r="49" spans="1:22" ht="33.75" customHeight="1" x14ac:dyDescent="0.15">
      <c r="A49" s="134"/>
      <c r="B49" s="134"/>
      <c r="C49" s="138">
        <f ca="1">IFERROR(__xludf.DUMMYFUNCTION("""COMPUTED_VALUE"""),453287)</f>
        <v>453287</v>
      </c>
      <c r="D49" s="138" t="str">
        <f ca="1">IFERROR(__xludf.DUMMYFUNCTION("""COMPUTED_VALUE"""),"Intermediate")</f>
        <v>Intermediate</v>
      </c>
      <c r="E49" s="139" t="str">
        <f ca="1">IFERROR(__xludf.DUMMYFUNCTION("""COMPUTED_VALUE"""),"Managing Your Sales Territory")</f>
        <v>Managing Your Sales Territory</v>
      </c>
      <c r="F49" s="141"/>
      <c r="G49" s="134"/>
      <c r="H49" s="134"/>
      <c r="I49" s="134"/>
      <c r="J49" s="138">
        <f ca="1">IFERROR(__xludf.DUMMYFUNCTION("""COMPUTED_VALUE"""),373563)</f>
        <v>373563</v>
      </c>
      <c r="K49" s="138" t="str">
        <f ca="1">IFERROR(__xludf.DUMMYFUNCTION("""COMPUTED_VALUE"""),"Intermediate")</f>
        <v>Intermediate</v>
      </c>
      <c r="L49" s="139" t="str">
        <f ca="1">IFERROR(__xludf.DUMMYFUNCTION("""COMPUTED_VALUE"""),"Designing Growth Strategies")</f>
        <v>Designing Growth Strategies</v>
      </c>
      <c r="M49" s="141"/>
      <c r="N49" s="134"/>
      <c r="O49" s="134"/>
      <c r="P49" s="134"/>
      <c r="Q49" s="138">
        <f ca="1">IFERROR(__xludf.DUMMYFUNCTION("""COMPUTED_VALUE"""),612175)</f>
        <v>612175</v>
      </c>
      <c r="R49" s="138" t="str">
        <f ca="1">IFERROR(__xludf.DUMMYFUNCTION("""COMPUTED_VALUE"""),"Intermediate")</f>
        <v>Intermediate</v>
      </c>
      <c r="S49" s="139" t="str">
        <f ca="1">IFERROR(__xludf.DUMMYFUNCTION("""COMPUTED_VALUE"""),"Creating a Leadership Development Program")</f>
        <v>Creating a Leadership Development Program</v>
      </c>
      <c r="T49" s="141"/>
      <c r="U49" s="134"/>
      <c r="V49" s="134"/>
    </row>
    <row r="50" spans="1:22" ht="33.75" customHeight="1" x14ac:dyDescent="0.15">
      <c r="A50" s="134"/>
      <c r="B50" s="134"/>
      <c r="C50" s="138">
        <f ca="1">IFERROR(__xludf.DUMMYFUNCTION("""COMPUTED_VALUE"""),453288)</f>
        <v>453288</v>
      </c>
      <c r="D50" s="138" t="str">
        <f ca="1">IFERROR(__xludf.DUMMYFUNCTION("""COMPUTED_VALUE"""),"Intermediate")</f>
        <v>Intermediate</v>
      </c>
      <c r="E50" s="139" t="str">
        <f ca="1">IFERROR(__xludf.DUMMYFUNCTION("""COMPUTED_VALUE"""),"Analyzing Sales Competitors")</f>
        <v>Analyzing Sales Competitors</v>
      </c>
      <c r="F50" s="141"/>
      <c r="G50" s="134"/>
      <c r="H50" s="134"/>
      <c r="I50" s="134"/>
      <c r="J50" s="138">
        <f ca="1">IFERROR(__xludf.DUMMYFUNCTION("""COMPUTED_VALUE"""),197201)</f>
        <v>197201</v>
      </c>
      <c r="K50" s="138" t="str">
        <f ca="1">IFERROR(__xludf.DUMMYFUNCTION("""COMPUTED_VALUE"""),"Intermediate")</f>
        <v>Intermediate</v>
      </c>
      <c r="L50" s="139" t="str">
        <f ca="1">IFERROR(__xludf.DUMMYFUNCTION("""COMPUTED_VALUE"""),"Developing Executive Presence")</f>
        <v>Developing Executive Presence</v>
      </c>
      <c r="M50" s="141"/>
      <c r="N50" s="134"/>
      <c r="O50" s="134"/>
      <c r="P50" s="134"/>
      <c r="Q50" s="138">
        <f ca="1">IFERROR(__xludf.DUMMYFUNCTION("""COMPUTED_VALUE"""),622051)</f>
        <v>622051</v>
      </c>
      <c r="R50" s="138" t="str">
        <f ca="1">IFERROR(__xludf.DUMMYFUNCTION("""COMPUTED_VALUE"""),"Intermediate")</f>
        <v>Intermediate</v>
      </c>
      <c r="S50" s="139" t="str">
        <f ca="1">IFERROR(__xludf.DUMMYFUNCTION("""COMPUTED_VALUE"""),"Developing Adaptable Managers")</f>
        <v>Developing Adaptable Managers</v>
      </c>
      <c r="T50" s="141"/>
      <c r="U50" s="134"/>
      <c r="V50" s="134"/>
    </row>
    <row r="51" spans="1:22" ht="33.75" customHeight="1" x14ac:dyDescent="0.15">
      <c r="A51" s="134"/>
      <c r="B51" s="134"/>
      <c r="C51" s="138">
        <f ca="1">IFERROR(__xludf.DUMMYFUNCTION("""COMPUTED_VALUE"""),460440)</f>
        <v>460440</v>
      </c>
      <c r="D51" s="138" t="str">
        <f ca="1">IFERROR(__xludf.DUMMYFUNCTION("""COMPUTED_VALUE"""),"Intermediate")</f>
        <v>Intermediate</v>
      </c>
      <c r="E51" s="139" t="str">
        <f ca="1">IFERROR(__xludf.DUMMYFUNCTION("""COMPUTED_VALUE"""),"Identify Sales Growth Opportunities")</f>
        <v>Identify Sales Growth Opportunities</v>
      </c>
      <c r="F51" s="141"/>
      <c r="G51" s="134"/>
      <c r="H51" s="134"/>
      <c r="I51" s="134"/>
      <c r="J51" s="138">
        <f ca="1">IFERROR(__xludf.DUMMYFUNCTION("""COMPUTED_VALUE"""),373992)</f>
        <v>373992</v>
      </c>
      <c r="K51" s="138" t="str">
        <f ca="1">IFERROR(__xludf.DUMMYFUNCTION("""COMPUTED_VALUE"""),"Intermediate")</f>
        <v>Intermediate</v>
      </c>
      <c r="L51" s="139" t="str">
        <f ca="1">IFERROR(__xludf.DUMMYFUNCTION("""COMPUTED_VALUE"""),"Executive Decision-Making")</f>
        <v>Executive Decision-Making</v>
      </c>
      <c r="M51" s="141"/>
      <c r="N51" s="134"/>
      <c r="O51" s="134"/>
      <c r="P51" s="134"/>
      <c r="Q51" s="138">
        <f ca="1">IFERROR(__xludf.DUMMYFUNCTION("""COMPUTED_VALUE"""),645011)</f>
        <v>645011</v>
      </c>
      <c r="R51" s="138" t="str">
        <f ca="1">IFERROR(__xludf.DUMMYFUNCTION("""COMPUTED_VALUE"""),"Intermediate")</f>
        <v>Intermediate</v>
      </c>
      <c r="S51" s="139" t="str">
        <f ca="1">IFERROR(__xludf.DUMMYFUNCTION("""COMPUTED_VALUE"""),"Coaching Employees through Difficult Situations")</f>
        <v>Coaching Employees through Difficult Situations</v>
      </c>
      <c r="T51" s="141"/>
      <c r="U51" s="134"/>
      <c r="V51" s="134"/>
    </row>
    <row r="52" spans="1:22" ht="33.75" customHeight="1" x14ac:dyDescent="0.15">
      <c r="A52" s="134"/>
      <c r="B52" s="134"/>
      <c r="C52" s="138">
        <f ca="1">IFERROR(__xludf.DUMMYFUNCTION("""COMPUTED_VALUE"""),460443)</f>
        <v>460443</v>
      </c>
      <c r="D52" s="138" t="str">
        <f ca="1">IFERROR(__xludf.DUMMYFUNCTION("""COMPUTED_VALUE"""),"Intermediate")</f>
        <v>Intermediate</v>
      </c>
      <c r="E52" s="139" t="str">
        <f ca="1">IFERROR(__xludf.DUMMYFUNCTION("""COMPUTED_VALUE"""),"Measure Salesforce Effectiveness")</f>
        <v>Measure Salesforce Effectiveness</v>
      </c>
      <c r="F52" s="141"/>
      <c r="G52" s="134"/>
      <c r="H52" s="134"/>
      <c r="I52" s="134"/>
      <c r="J52" s="138">
        <f ca="1">IFERROR(__xludf.DUMMYFUNCTION("""COMPUTED_VALUE"""),167027)</f>
        <v>167027</v>
      </c>
      <c r="K52" s="138" t="str">
        <f ca="1">IFERROR(__xludf.DUMMYFUNCTION("""COMPUTED_VALUE"""),"Intermediate")</f>
        <v>Intermediate</v>
      </c>
      <c r="L52" s="139" t="str">
        <f ca="1">IFERROR(__xludf.DUMMYFUNCTION("""COMPUTED_VALUE"""),"Executive Leadership")</f>
        <v>Executive Leadership</v>
      </c>
      <c r="M52" s="141"/>
      <c r="N52" s="134"/>
      <c r="O52" s="134"/>
      <c r="P52" s="134"/>
      <c r="Q52" s="138">
        <f ca="1">IFERROR(__xludf.DUMMYFUNCTION("""COMPUTED_VALUE"""),672234)</f>
        <v>672234</v>
      </c>
      <c r="R52" s="138" t="str">
        <f ca="1">IFERROR(__xludf.DUMMYFUNCTION("""COMPUTED_VALUE"""),"Intermediate")</f>
        <v>Intermediate</v>
      </c>
      <c r="S52" s="139" t="str">
        <f ca="1">IFERROR(__xludf.DUMMYFUNCTION("""COMPUTED_VALUE"""),"Creating the Conditions for Others to Thrive")</f>
        <v>Creating the Conditions for Others to Thrive</v>
      </c>
      <c r="T52" s="141"/>
      <c r="U52" s="134"/>
      <c r="V52" s="134"/>
    </row>
    <row r="53" spans="1:22" ht="33.75" customHeight="1" x14ac:dyDescent="0.15">
      <c r="A53" s="134"/>
      <c r="B53" s="134"/>
      <c r="C53" s="138">
        <f ca="1">IFERROR(__xludf.DUMMYFUNCTION("""COMPUTED_VALUE"""),461911)</f>
        <v>461911</v>
      </c>
      <c r="D53" s="138" t="str">
        <f ca="1">IFERROR(__xludf.DUMMYFUNCTION("""COMPUTED_VALUE"""),"Intermediate")</f>
        <v>Intermediate</v>
      </c>
      <c r="E53" s="139" t="str">
        <f ca="1">IFERROR(__xludf.DUMMYFUNCTION("""COMPUTED_VALUE"""),"Sales Negotiation")</f>
        <v>Sales Negotiation</v>
      </c>
      <c r="F53" s="141"/>
      <c r="G53" s="134"/>
      <c r="H53" s="134"/>
      <c r="I53" s="134"/>
      <c r="J53" s="138">
        <f ca="1">IFERROR(__xludf.DUMMYFUNCTION("""COMPUTED_VALUE"""),422094)</f>
        <v>422094</v>
      </c>
      <c r="K53" s="138" t="str">
        <f ca="1">IFERROR(__xludf.DUMMYFUNCTION("""COMPUTED_VALUE"""),"Intermediate")</f>
        <v>Intermediate</v>
      </c>
      <c r="L53" s="139" t="str">
        <f ca="1">IFERROR(__xludf.DUMMYFUNCTION("""COMPUTED_VALUE"""),"Measuring Business Performance")</f>
        <v>Measuring Business Performance</v>
      </c>
      <c r="M53" s="141"/>
      <c r="N53" s="134"/>
      <c r="O53" s="134"/>
      <c r="P53" s="134"/>
      <c r="Q53" s="138">
        <f ca="1">IFERROR(__xludf.DUMMYFUNCTION("""COMPUTED_VALUE"""),700792)</f>
        <v>700792</v>
      </c>
      <c r="R53" s="138" t="str">
        <f ca="1">IFERROR(__xludf.DUMMYFUNCTION("""COMPUTED_VALUE"""),"Intermediate")</f>
        <v>Intermediate</v>
      </c>
      <c r="S53" s="139" t="str">
        <f ca="1">IFERROR(__xludf.DUMMYFUNCTION("""COMPUTED_VALUE"""),"Employee Experience")</f>
        <v>Employee Experience</v>
      </c>
      <c r="T53" s="141"/>
      <c r="U53" s="134"/>
      <c r="V53" s="134"/>
    </row>
    <row r="54" spans="1:22" ht="33.75" customHeight="1" x14ac:dyDescent="0.15">
      <c r="A54" s="134"/>
      <c r="B54" s="134"/>
      <c r="C54" s="138">
        <f ca="1">IFERROR(__xludf.DUMMYFUNCTION("""COMPUTED_VALUE"""),461912)</f>
        <v>461912</v>
      </c>
      <c r="D54" s="138" t="str">
        <f ca="1">IFERROR(__xludf.DUMMYFUNCTION("""COMPUTED_VALUE"""),"Intermediate")</f>
        <v>Intermediate</v>
      </c>
      <c r="E54" s="139" t="str">
        <f ca="1">IFERROR(__xludf.DUMMYFUNCTION("""COMPUTED_VALUE"""),"Purpose-Driven Sales")</f>
        <v>Purpose-Driven Sales</v>
      </c>
      <c r="F54" s="141"/>
      <c r="G54" s="134"/>
      <c r="H54" s="134"/>
      <c r="I54" s="134"/>
      <c r="J54" s="138">
        <f ca="1">IFERROR(__xludf.DUMMYFUNCTION("""COMPUTED_VALUE"""),520220)</f>
        <v>520220</v>
      </c>
      <c r="K54" s="138" t="str">
        <f ca="1">IFERROR(__xludf.DUMMYFUNCTION("""COMPUTED_VALUE"""),"Intermediate")</f>
        <v>Intermediate</v>
      </c>
      <c r="L54" s="139" t="str">
        <f ca="1">IFERROR(__xludf.DUMMYFUNCTION("""COMPUTED_VALUE"""),"Organizational Learning and Development")</f>
        <v>Organizational Learning and Development</v>
      </c>
      <c r="M54" s="141"/>
      <c r="N54" s="134"/>
      <c r="O54" s="134"/>
      <c r="P54" s="134"/>
      <c r="Q54" s="138">
        <f ca="1">IFERROR(__xludf.DUMMYFUNCTION("""COMPUTED_VALUE"""),713373)</f>
        <v>713373</v>
      </c>
      <c r="R54" s="138" t="str">
        <f ca="1">IFERROR(__xludf.DUMMYFUNCTION("""COMPUTED_VALUE"""),"Intermediate")</f>
        <v>Intermediate</v>
      </c>
      <c r="S54" s="139" t="str">
        <f ca="1">IFERROR(__xludf.DUMMYFUNCTION("""COMPUTED_VALUE"""),"Coaching Skills for Leaders and Managers")</f>
        <v>Coaching Skills for Leaders and Managers</v>
      </c>
      <c r="T54" s="141"/>
      <c r="U54" s="134"/>
      <c r="V54" s="134"/>
    </row>
    <row r="55" spans="1:22" ht="33.75" customHeight="1" x14ac:dyDescent="0.15">
      <c r="A55" s="134"/>
      <c r="B55" s="134"/>
      <c r="C55" s="138">
        <f ca="1">IFERROR(__xludf.DUMMYFUNCTION("""COMPUTED_VALUE"""),504664)</f>
        <v>504664</v>
      </c>
      <c r="D55" s="138" t="str">
        <f ca="1">IFERROR(__xludf.DUMMYFUNCTION("""COMPUTED_VALUE"""),"Intermediate")</f>
        <v>Intermediate</v>
      </c>
      <c r="E55" s="139" t="str">
        <f ca="1">IFERROR(__xludf.DUMMYFUNCTION("""COMPUTED_VALUE"""),"Persuasive Selling")</f>
        <v>Persuasive Selling</v>
      </c>
      <c r="F55" s="141"/>
      <c r="G55" s="134"/>
      <c r="H55" s="134"/>
      <c r="I55" s="134"/>
      <c r="J55" s="138">
        <f ca="1">IFERROR(__xludf.DUMMYFUNCTION("""COMPUTED_VALUE"""),599594)</f>
        <v>599594</v>
      </c>
      <c r="K55" s="138" t="str">
        <f ca="1">IFERROR(__xludf.DUMMYFUNCTION("""COMPUTED_VALUE"""),"Intermediate")</f>
        <v>Intermediate</v>
      </c>
      <c r="L55" s="139" t="str">
        <f ca="1">IFERROR(__xludf.DUMMYFUNCTION("""COMPUTED_VALUE"""),"Setting Business Unit Goals")</f>
        <v>Setting Business Unit Goals</v>
      </c>
      <c r="M55" s="141"/>
      <c r="N55" s="134"/>
      <c r="O55" s="134"/>
      <c r="P55" s="134"/>
      <c r="Q55" s="138">
        <f ca="1">IFERROR(__xludf.DUMMYFUNCTION("""COMPUTED_VALUE"""),718627)</f>
        <v>718627</v>
      </c>
      <c r="R55" s="138" t="str">
        <f ca="1">IFERROR(__xludf.DUMMYFUNCTION("""COMPUTED_VALUE"""),"Intermediate")</f>
        <v>Intermediate</v>
      </c>
      <c r="S55" s="139" t="str">
        <f ca="1">IFERROR(__xludf.DUMMYFUNCTION("""COMPUTED_VALUE"""),"Enhancing Team Innovation")</f>
        <v>Enhancing Team Innovation</v>
      </c>
      <c r="T55" s="141"/>
      <c r="U55" s="134"/>
      <c r="V55" s="134"/>
    </row>
    <row r="56" spans="1:22" ht="33.75" customHeight="1" x14ac:dyDescent="0.15">
      <c r="A56" s="134"/>
      <c r="B56" s="134"/>
      <c r="C56" s="138">
        <f ca="1">IFERROR(__xludf.DUMMYFUNCTION("""COMPUTED_VALUE"""),548711)</f>
        <v>548711</v>
      </c>
      <c r="D56" s="138" t="str">
        <f ca="1">IFERROR(__xludf.DUMMYFUNCTION("""COMPUTED_VALUE"""),"Intermediate")</f>
        <v>Intermediate</v>
      </c>
      <c r="E56" s="139" t="str">
        <f ca="1">IFERROR(__xludf.DUMMYFUNCTION("""COMPUTED_VALUE"""),"Sales Forecasting")</f>
        <v>Sales Forecasting</v>
      </c>
      <c r="F56" s="141"/>
      <c r="G56" s="134"/>
      <c r="H56" s="134"/>
      <c r="I56" s="134"/>
      <c r="J56" s="138">
        <f ca="1">IFERROR(__xludf.DUMMYFUNCTION("""COMPUTED_VALUE"""),434461)</f>
        <v>434461</v>
      </c>
      <c r="K56" s="138" t="str">
        <f ca="1">IFERROR(__xludf.DUMMYFUNCTION("""COMPUTED_VALUE"""),"Intermediate")</f>
        <v>Intermediate</v>
      </c>
      <c r="L56" s="139" t="str">
        <f ca="1">IFERROR(__xludf.DUMMYFUNCTION("""COMPUTED_VALUE"""),"Strategic Human Resources")</f>
        <v>Strategic Human Resources</v>
      </c>
      <c r="M56" s="141"/>
      <c r="N56" s="134"/>
      <c r="O56" s="134"/>
      <c r="P56" s="134"/>
      <c r="Q56" s="138">
        <f ca="1">IFERROR(__xludf.DUMMYFUNCTION("""COMPUTED_VALUE"""),737756)</f>
        <v>737756</v>
      </c>
      <c r="R56" s="138" t="str">
        <f ca="1">IFERROR(__xludf.DUMMYFUNCTION("""COMPUTED_VALUE"""),"Intermediate")</f>
        <v>Intermediate</v>
      </c>
      <c r="S56" s="139" t="str">
        <f ca="1">IFERROR(__xludf.DUMMYFUNCTION("""COMPUTED_VALUE"""),"Developing Your Team Members")</f>
        <v>Developing Your Team Members</v>
      </c>
      <c r="T56" s="141"/>
      <c r="U56" s="134"/>
      <c r="V56" s="134"/>
    </row>
    <row r="57" spans="1:22" ht="33.75" customHeight="1" x14ac:dyDescent="0.15">
      <c r="A57" s="134"/>
      <c r="B57" s="134"/>
      <c r="C57" s="138">
        <f ca="1">IFERROR(__xludf.DUMMYFUNCTION("""COMPUTED_VALUE"""),548713)</f>
        <v>548713</v>
      </c>
      <c r="D57" s="138" t="str">
        <f ca="1">IFERROR(__xludf.DUMMYFUNCTION("""COMPUTED_VALUE"""),"Intermediate")</f>
        <v>Intermediate</v>
      </c>
      <c r="E57" s="139" t="str">
        <f ca="1">IFERROR(__xludf.DUMMYFUNCTION("""COMPUTED_VALUE"""),"Key Account Management")</f>
        <v>Key Account Management</v>
      </c>
      <c r="F57" s="141"/>
      <c r="G57" s="134"/>
      <c r="H57" s="134"/>
      <c r="I57" s="134"/>
      <c r="J57" s="138">
        <f ca="1">IFERROR(__xludf.DUMMYFUNCTION("""COMPUTED_VALUE"""),183682)</f>
        <v>183682</v>
      </c>
      <c r="K57" s="138" t="str">
        <f ca="1">IFERROR(__xludf.DUMMYFUNCTION("""COMPUTED_VALUE"""),"Intermediate")</f>
        <v>Intermediate</v>
      </c>
      <c r="L57" s="139" t="str">
        <f ca="1">IFERROR(__xludf.DUMMYFUNCTION("""COMPUTED_VALUE"""),"Strategic Planning Foundations")</f>
        <v>Strategic Planning Foundations</v>
      </c>
      <c r="M57" s="141"/>
      <c r="N57" s="134"/>
      <c r="O57" s="134"/>
      <c r="P57" s="134"/>
      <c r="Q57" s="138">
        <f ca="1">IFERROR(__xludf.DUMMYFUNCTION("""COMPUTED_VALUE"""),746305)</f>
        <v>746305</v>
      </c>
      <c r="R57" s="138" t="str">
        <f ca="1">IFERROR(__xludf.DUMMYFUNCTION("""COMPUTED_VALUE"""),"Intermediate")</f>
        <v>Intermediate</v>
      </c>
      <c r="S57" s="139" t="str">
        <f ca="1">IFERROR(__xludf.DUMMYFUNCTION("""COMPUTED_VALUE"""),"Managing Employee Performance Problems")</f>
        <v>Managing Employee Performance Problems</v>
      </c>
      <c r="T57" s="141"/>
      <c r="U57" s="134"/>
      <c r="V57" s="134"/>
    </row>
    <row r="58" spans="1:22" ht="33.75" customHeight="1" x14ac:dyDescent="0.15">
      <c r="A58" s="134"/>
      <c r="B58" s="134"/>
      <c r="C58" s="138">
        <f ca="1">IFERROR(__xludf.DUMMYFUNCTION("""COMPUTED_VALUE"""),560125)</f>
        <v>560125</v>
      </c>
      <c r="D58" s="138" t="str">
        <f ca="1">IFERROR(__xludf.DUMMYFUNCTION("""COMPUTED_VALUE"""),"Intermediate")</f>
        <v>Intermediate</v>
      </c>
      <c r="E58" s="139" t="str">
        <f ca="1">IFERROR(__xludf.DUMMYFUNCTION("""COMPUTED_VALUE"""),"Sales Channel Management")</f>
        <v>Sales Channel Management</v>
      </c>
      <c r="F58" s="141"/>
      <c r="G58" s="134"/>
      <c r="H58" s="134"/>
      <c r="I58" s="134"/>
      <c r="J58" s="138">
        <f ca="1">IFERROR(__xludf.DUMMYFUNCTION("""COMPUTED_VALUE"""),431182)</f>
        <v>431182</v>
      </c>
      <c r="K58" s="138" t="str">
        <f ca="1">IFERROR(__xludf.DUMMYFUNCTION("""COMPUTED_VALUE"""),"Intermediate")</f>
        <v>Intermediate</v>
      </c>
      <c r="L58" s="139" t="str">
        <f ca="1">IFERROR(__xludf.DUMMYFUNCTION("""COMPUTED_VALUE"""),"Sustainability Strategies")</f>
        <v>Sustainability Strategies</v>
      </c>
      <c r="M58" s="141"/>
      <c r="N58" s="134"/>
      <c r="O58" s="134"/>
      <c r="P58" s="134"/>
      <c r="Q58" s="138">
        <f ca="1">IFERROR(__xludf.DUMMYFUNCTION("""COMPUTED_VALUE"""),758620)</f>
        <v>758620</v>
      </c>
      <c r="R58" s="138" t="str">
        <f ca="1">IFERROR(__xludf.DUMMYFUNCTION("""COMPUTED_VALUE"""),"Intermediate")</f>
        <v>Intermediate</v>
      </c>
      <c r="S58" s="139" t="str">
        <f ca="1">IFERROR(__xludf.DUMMYFUNCTION("""COMPUTED_VALUE"""),"Persuasive Coaching")</f>
        <v>Persuasive Coaching</v>
      </c>
      <c r="T58" s="141"/>
      <c r="U58" s="134"/>
      <c r="V58" s="134"/>
    </row>
    <row r="59" spans="1:22" ht="33.75" customHeight="1" x14ac:dyDescent="0.15">
      <c r="A59" s="134"/>
      <c r="B59" s="134"/>
      <c r="C59" s="138">
        <f ca="1">IFERROR(__xludf.DUMMYFUNCTION("""COMPUTED_VALUE"""),587596)</f>
        <v>587596</v>
      </c>
      <c r="D59" s="138" t="str">
        <f ca="1">IFERROR(__xludf.DUMMYFUNCTION("""COMPUTED_VALUE"""),"Intermediate")</f>
        <v>Intermediate</v>
      </c>
      <c r="E59" s="139" t="str">
        <f ca="1">IFERROR(__xludf.DUMMYFUNCTION("""COMPUTED_VALUE"""),"Sales Performance Measurement and Reporting")</f>
        <v>Sales Performance Measurement and Reporting</v>
      </c>
      <c r="F59" s="141"/>
      <c r="G59" s="134"/>
      <c r="H59" s="134"/>
      <c r="I59" s="134"/>
      <c r="J59" s="138">
        <f ca="1">IFERROR(__xludf.DUMMYFUNCTION("""COMPUTED_VALUE"""),2252216)</f>
        <v>2252216</v>
      </c>
      <c r="K59" s="138" t="str">
        <f ca="1">IFERROR(__xludf.DUMMYFUNCTION("""COMPUTED_VALUE"""),"Intermediate")</f>
        <v>Intermediate</v>
      </c>
      <c r="L59" s="139" t="str">
        <f ca="1">IFERROR(__xludf.DUMMYFUNCTION("""COMPUTED_VALUE"""),"Leading from the Middle")</f>
        <v>Leading from the Middle</v>
      </c>
      <c r="M59" s="141"/>
      <c r="N59" s="134"/>
      <c r="O59" s="134"/>
      <c r="P59" s="134"/>
      <c r="Q59" s="138">
        <f ca="1">IFERROR(__xludf.DUMMYFUNCTION("""COMPUTED_VALUE"""),808667)</f>
        <v>808667</v>
      </c>
      <c r="R59" s="138" t="str">
        <f ca="1">IFERROR(__xludf.DUMMYFUNCTION("""COMPUTED_VALUE"""),"Intermediate")</f>
        <v>Intermediate</v>
      </c>
      <c r="S59" s="139" t="str">
        <f ca="1">IFERROR(__xludf.DUMMYFUNCTION("""COMPUTED_VALUE"""),"Building a Coaching Culture: Improving Performance Through Timely Feedback")</f>
        <v>Building a Coaching Culture: Improving Performance Through Timely Feedback</v>
      </c>
      <c r="T59" s="141"/>
      <c r="U59" s="134"/>
      <c r="V59" s="134"/>
    </row>
    <row r="60" spans="1:22" ht="33.75" customHeight="1" x14ac:dyDescent="0.15">
      <c r="A60" s="134"/>
      <c r="B60" s="134"/>
      <c r="C60" s="138">
        <f ca="1">IFERROR(__xludf.DUMMYFUNCTION("""COMPUTED_VALUE"""),602886)</f>
        <v>602886</v>
      </c>
      <c r="D60" s="138" t="str">
        <f ca="1">IFERROR(__xludf.DUMMYFUNCTION("""COMPUTED_VALUE"""),"Intermediate")</f>
        <v>Intermediate</v>
      </c>
      <c r="E60" s="139" t="str">
        <f ca="1">IFERROR(__xludf.DUMMYFUNCTION("""COMPUTED_VALUE"""),"Sales: Develop a Service Orientation")</f>
        <v>Sales: Develop a Service Orientation</v>
      </c>
      <c r="F60" s="141"/>
      <c r="G60" s="134"/>
      <c r="H60" s="134"/>
      <c r="I60" s="134"/>
      <c r="J60" s="138">
        <f ca="1">IFERROR(__xludf.DUMMYFUNCTION("""COMPUTED_VALUE"""),2823038)</f>
        <v>2823038</v>
      </c>
      <c r="K60" s="138" t="str">
        <f ca="1">IFERROR(__xludf.DUMMYFUNCTION("""COMPUTED_VALUE"""),"Intermediate")</f>
        <v>Intermediate</v>
      </c>
      <c r="L60" s="139" t="str">
        <f ca="1">IFERROR(__xludf.DUMMYFUNCTION("""COMPUTED_VALUE"""),"Strategic Planning: Case Studies")</f>
        <v>Strategic Planning: Case Studies</v>
      </c>
      <c r="M60" s="141"/>
      <c r="N60" s="134"/>
      <c r="O60" s="134"/>
      <c r="P60" s="134"/>
      <c r="Q60" s="138">
        <f ca="1">IFERROR(__xludf.DUMMYFUNCTION("""COMPUTED_VALUE"""),2252217)</f>
        <v>2252217</v>
      </c>
      <c r="R60" s="138" t="str">
        <f ca="1">IFERROR(__xludf.DUMMYFUNCTION("""COMPUTED_VALUE"""),"Intermediate")</f>
        <v>Intermediate</v>
      </c>
      <c r="S60" s="139" t="str">
        <f ca="1">IFERROR(__xludf.DUMMYFUNCTION("""COMPUTED_VALUE"""),"Managing Multiple Generations")</f>
        <v>Managing Multiple Generations</v>
      </c>
      <c r="T60" s="141"/>
      <c r="U60" s="134"/>
      <c r="V60" s="134"/>
    </row>
    <row r="61" spans="1:22" ht="33.75" customHeight="1" x14ac:dyDescent="0.15">
      <c r="A61" s="134"/>
      <c r="B61" s="134"/>
      <c r="C61" s="138">
        <f ca="1">IFERROR(__xludf.DUMMYFUNCTION("""COMPUTED_VALUE"""),602887)</f>
        <v>602887</v>
      </c>
      <c r="D61" s="138" t="str">
        <f ca="1">IFERROR(__xludf.DUMMYFUNCTION("""COMPUTED_VALUE"""),"Intermediate")</f>
        <v>Intermediate</v>
      </c>
      <c r="E61" s="139" t="str">
        <f ca="1">IFERROR(__xludf.DUMMYFUNCTION("""COMPUTED_VALUE"""),"Sales: Customer Success")</f>
        <v>Sales: Customer Success</v>
      </c>
      <c r="F61" s="141"/>
      <c r="G61" s="134"/>
      <c r="H61" s="134"/>
      <c r="I61" s="134"/>
      <c r="J61" s="138">
        <f ca="1">IFERROR(__xludf.DUMMYFUNCTION("""COMPUTED_VALUE"""),2823041)</f>
        <v>2823041</v>
      </c>
      <c r="K61" s="138" t="str">
        <f ca="1">IFERROR(__xludf.DUMMYFUNCTION("""COMPUTED_VALUE"""),"Intermediate")</f>
        <v>Intermediate</v>
      </c>
      <c r="L61" s="139" t="str">
        <f ca="1">IFERROR(__xludf.DUMMYFUNCTION("""COMPUTED_VALUE"""),"Communicating Change in an Enterprise-Wide Transformation")</f>
        <v>Communicating Change in an Enterprise-Wide Transformation</v>
      </c>
      <c r="M61" s="141"/>
      <c r="N61" s="134"/>
      <c r="O61" s="134"/>
      <c r="P61" s="134"/>
      <c r="Q61" s="138">
        <f ca="1">IFERROR(__xludf.DUMMYFUNCTION("""COMPUTED_VALUE"""),2802467)</f>
        <v>2802467</v>
      </c>
      <c r="R61" s="138" t="str">
        <f ca="1">IFERROR(__xludf.DUMMYFUNCTION("""COMPUTED_VALUE"""),"Intermediate")</f>
        <v>Intermediate</v>
      </c>
      <c r="S61" s="139" t="str">
        <f ca="1">IFERROR(__xludf.DUMMYFUNCTION("""COMPUTED_VALUE"""),"A Toolkit for Giving and Receiving Better Feedback")</f>
        <v>A Toolkit for Giving and Receiving Better Feedback</v>
      </c>
      <c r="T61" s="141"/>
      <c r="U61" s="134"/>
      <c r="V61" s="134"/>
    </row>
    <row r="62" spans="1:22" ht="33.75" customHeight="1" x14ac:dyDescent="0.15">
      <c r="A62" s="134"/>
      <c r="B62" s="134"/>
      <c r="C62" s="138">
        <f ca="1">IFERROR(__xludf.DUMMYFUNCTION("""COMPUTED_VALUE"""),624264)</f>
        <v>624264</v>
      </c>
      <c r="D62" s="138" t="str">
        <f ca="1">IFERROR(__xludf.DUMMYFUNCTION("""COMPUTED_VALUE"""),"Intermediate")</f>
        <v>Intermediate</v>
      </c>
      <c r="E62" s="139" t="str">
        <f ca="1">IFERROR(__xludf.DUMMYFUNCTION("""COMPUTED_VALUE"""),"Sales: Closing a Complex Sale")</f>
        <v>Sales: Closing a Complex Sale</v>
      </c>
      <c r="F62" s="141"/>
      <c r="G62" s="134"/>
      <c r="H62" s="134"/>
      <c r="I62" s="134"/>
      <c r="J62" s="138">
        <f ca="1">IFERROR(__xludf.DUMMYFUNCTION("""COMPUTED_VALUE"""),2213244)</f>
        <v>2213244</v>
      </c>
      <c r="K62" s="138" t="str">
        <f ca="1">IFERROR(__xludf.DUMMYFUNCTION("""COMPUTED_VALUE"""),"Intermediate")</f>
        <v>Intermediate</v>
      </c>
      <c r="L62" s="139" t="str">
        <f ca="1">IFERROR(__xludf.DUMMYFUNCTION("""COMPUTED_VALUE"""),"Azure for Architects: Design a Migration Strategy")</f>
        <v>Azure for Architects: Design a Migration Strategy</v>
      </c>
      <c r="M62" s="141"/>
      <c r="N62" s="134"/>
      <c r="O62" s="134"/>
      <c r="P62" s="134"/>
      <c r="Q62" s="138">
        <f ca="1">IFERROR(__xludf.DUMMYFUNCTION("""COMPUTED_VALUE"""),2806197)</f>
        <v>2806197</v>
      </c>
      <c r="R62" s="138" t="str">
        <f ca="1">IFERROR(__xludf.DUMMYFUNCTION("""COMPUTED_VALUE"""),"Intermediate")</f>
        <v>Intermediate</v>
      </c>
      <c r="S62" s="139" t="str">
        <f ca="1">IFERROR(__xludf.DUMMYFUNCTION("""COMPUTED_VALUE"""),"Human-Centered Leadership")</f>
        <v>Human-Centered Leadership</v>
      </c>
      <c r="T62" s="141"/>
      <c r="U62" s="134"/>
      <c r="V62" s="134"/>
    </row>
    <row r="63" spans="1:22" ht="33.75" customHeight="1" x14ac:dyDescent="0.15">
      <c r="A63" s="134"/>
      <c r="B63" s="134"/>
      <c r="C63" s="138">
        <f ca="1">IFERROR(__xludf.DUMMYFUNCTION("""COMPUTED_VALUE"""),633847)</f>
        <v>633847</v>
      </c>
      <c r="D63" s="138" t="str">
        <f ca="1">IFERROR(__xludf.DUMMYFUNCTION("""COMPUTED_VALUE"""),"Intermediate")</f>
        <v>Intermediate</v>
      </c>
      <c r="E63" s="139" t="str">
        <f ca="1">IFERROR(__xludf.DUMMYFUNCTION("""COMPUTED_VALUE"""),"Sales Pipeline Management")</f>
        <v>Sales Pipeline Management</v>
      </c>
      <c r="F63" s="141"/>
      <c r="G63" s="134"/>
      <c r="H63" s="134"/>
      <c r="I63" s="134"/>
      <c r="J63" s="138">
        <f ca="1">IFERROR(__xludf.DUMMYFUNCTION("""COMPUTED_VALUE"""),2813285)</f>
        <v>2813285</v>
      </c>
      <c r="K63" s="138" t="str">
        <f ca="1">IFERROR(__xludf.DUMMYFUNCTION("""COMPUTED_VALUE"""),"Intermediate")</f>
        <v>Intermediate</v>
      </c>
      <c r="L63" s="139" t="str">
        <f ca="1">IFERROR(__xludf.DUMMYFUNCTION("""COMPUTED_VALUE"""),"Ethical Hacking: Cryptography")</f>
        <v>Ethical Hacking: Cryptography</v>
      </c>
      <c r="M63" s="141"/>
      <c r="N63" s="134"/>
      <c r="O63" s="134"/>
      <c r="P63" s="134"/>
      <c r="Q63" s="138">
        <f ca="1">IFERROR(__xludf.DUMMYFUNCTION("""COMPUTED_VALUE"""),2839079)</f>
        <v>2839079</v>
      </c>
      <c r="R63" s="138" t="str">
        <f ca="1">IFERROR(__xludf.DUMMYFUNCTION("""COMPUTED_VALUE"""),"Intermediate")</f>
        <v>Intermediate</v>
      </c>
      <c r="S63" s="139" t="str">
        <f ca="1">IFERROR(__xludf.DUMMYFUNCTION("""COMPUTED_VALUE"""),"The Coaching Habit (getAbstract Summary)")</f>
        <v>The Coaching Habit (getAbstract Summary)</v>
      </c>
      <c r="T63" s="141"/>
      <c r="U63" s="134"/>
      <c r="V63" s="134"/>
    </row>
    <row r="64" spans="1:22" ht="33.75" customHeight="1" x14ac:dyDescent="0.15">
      <c r="A64" s="134"/>
      <c r="B64" s="134"/>
      <c r="C64" s="138">
        <f ca="1">IFERROR(__xludf.DUMMYFUNCTION("""COMPUTED_VALUE"""),667359)</f>
        <v>667359</v>
      </c>
      <c r="D64" s="138" t="str">
        <f ca="1">IFERROR(__xludf.DUMMYFUNCTION("""COMPUTED_VALUE"""),"Intermediate")</f>
        <v>Intermediate</v>
      </c>
      <c r="E64" s="139" t="str">
        <f ca="1">IFERROR(__xludf.DUMMYFUNCTION("""COMPUTED_VALUE"""),"Sales: Data-Driven Sales Management")</f>
        <v>Sales: Data-Driven Sales Management</v>
      </c>
      <c r="F64" s="141"/>
      <c r="G64" s="134"/>
      <c r="H64" s="134"/>
      <c r="I64" s="134"/>
      <c r="J64" s="138">
        <f ca="1">IFERROR(__xludf.DUMMYFUNCTION("""COMPUTED_VALUE"""),2822056)</f>
        <v>2822056</v>
      </c>
      <c r="K64" s="138" t="str">
        <f ca="1">IFERROR(__xludf.DUMMYFUNCTION("""COMPUTED_VALUE"""),"Intermediate")</f>
        <v>Intermediate</v>
      </c>
      <c r="L64" s="139" t="str">
        <f ca="1">IFERROR(__xludf.DUMMYFUNCTION("""COMPUTED_VALUE"""),"Azure for Architects: Design a Business Continuity Strategy")</f>
        <v>Azure for Architects: Design a Business Continuity Strategy</v>
      </c>
      <c r="M64" s="141"/>
      <c r="N64" s="134"/>
      <c r="O64" s="134"/>
      <c r="P64" s="134"/>
      <c r="Q64" s="138"/>
      <c r="R64" s="138"/>
      <c r="S64" s="143"/>
      <c r="T64" s="141"/>
      <c r="U64" s="134"/>
      <c r="V64" s="134"/>
    </row>
    <row r="65" spans="1:22" ht="33.75" customHeight="1" x14ac:dyDescent="0.15">
      <c r="A65" s="134"/>
      <c r="B65" s="134"/>
      <c r="C65" s="138">
        <f ca="1">IFERROR(__xludf.DUMMYFUNCTION("""COMPUTED_VALUE"""),758619)</f>
        <v>758619</v>
      </c>
      <c r="D65" s="138" t="str">
        <f ca="1">IFERROR(__xludf.DUMMYFUNCTION("""COMPUTED_VALUE"""),"Intermediate")</f>
        <v>Intermediate</v>
      </c>
      <c r="E65" s="139" t="str">
        <f ca="1">IFERROR(__xludf.DUMMYFUNCTION("""COMPUTED_VALUE"""),"Social Selling Benchmarks and Scorecard")</f>
        <v>Social Selling Benchmarks and Scorecard</v>
      </c>
      <c r="F65" s="141"/>
      <c r="G65" s="134"/>
      <c r="H65" s="134"/>
      <c r="I65" s="134"/>
      <c r="J65" s="138">
        <f ca="1">IFERROR(__xludf.DUMMYFUNCTION("""COMPUTED_VALUE"""),2825373)</f>
        <v>2825373</v>
      </c>
      <c r="K65" s="138" t="str">
        <f ca="1">IFERROR(__xludf.DUMMYFUNCTION("""COMPUTED_VALUE"""),"Intermediate")</f>
        <v>Intermediate</v>
      </c>
      <c r="L65" s="139" t="str">
        <f ca="1">IFERROR(__xludf.DUMMYFUNCTION("""COMPUTED_VALUE"""),"Cybersecurity Foundations")</f>
        <v>Cybersecurity Foundations</v>
      </c>
      <c r="M65" s="141"/>
      <c r="N65" s="134"/>
      <c r="O65" s="134"/>
      <c r="P65" s="134"/>
      <c r="Q65" s="138"/>
      <c r="R65" s="138"/>
      <c r="S65" s="143"/>
      <c r="T65" s="141"/>
      <c r="U65" s="134"/>
      <c r="V65" s="134"/>
    </row>
    <row r="66" spans="1:22" ht="33.75" customHeight="1" x14ac:dyDescent="0.15">
      <c r="A66" s="134"/>
      <c r="B66" s="134"/>
      <c r="C66" s="138">
        <f ca="1">IFERROR(__xludf.DUMMYFUNCTION("""COMPUTED_VALUE"""),769275)</f>
        <v>769275</v>
      </c>
      <c r="D66" s="138" t="str">
        <f ca="1">IFERROR(__xludf.DUMMYFUNCTION("""COMPUTED_VALUE"""),"Intermediate")</f>
        <v>Intermediate</v>
      </c>
      <c r="E66" s="139" t="str">
        <f ca="1">IFERROR(__xludf.DUMMYFUNCTION("""COMPUTED_VALUE"""),"Cross-Selling")</f>
        <v>Cross-Selling</v>
      </c>
      <c r="F66" s="141"/>
      <c r="G66" s="134"/>
      <c r="H66" s="134"/>
      <c r="I66" s="134"/>
      <c r="J66" s="138">
        <f ca="1">IFERROR(__xludf.DUMMYFUNCTION("""COMPUTED_VALUE"""),2825455)</f>
        <v>2825455</v>
      </c>
      <c r="K66" s="138" t="str">
        <f ca="1">IFERROR(__xludf.DUMMYFUNCTION("""COMPUTED_VALUE"""),"Intermediate")</f>
        <v>Intermediate</v>
      </c>
      <c r="L66" s="139" t="str">
        <f ca="1">IFERROR(__xludf.DUMMYFUNCTION("""COMPUTED_VALUE"""),"Balancing Innovation and Risk")</f>
        <v>Balancing Innovation and Risk</v>
      </c>
      <c r="M66" s="141"/>
      <c r="N66" s="134"/>
      <c r="O66" s="134"/>
      <c r="P66" s="134"/>
      <c r="Q66" s="138"/>
      <c r="R66" s="138"/>
      <c r="S66" s="143"/>
      <c r="T66" s="141"/>
      <c r="U66" s="134"/>
      <c r="V66" s="134"/>
    </row>
    <row r="67" spans="1:22" ht="33.75" customHeight="1" x14ac:dyDescent="0.15">
      <c r="A67" s="134"/>
      <c r="B67" s="134"/>
      <c r="C67" s="138">
        <f ca="1">IFERROR(__xludf.DUMMYFUNCTION("""COMPUTED_VALUE"""),772320)</f>
        <v>772320</v>
      </c>
      <c r="D67" s="138" t="str">
        <f ca="1">IFERROR(__xludf.DUMMYFUNCTION("""COMPUTED_VALUE"""),"Intermediate")</f>
        <v>Intermediate</v>
      </c>
      <c r="E67" s="139" t="str">
        <f ca="1">IFERROR(__xludf.DUMMYFUNCTION("""COMPUTED_VALUE"""),"Sales: Handling Objections")</f>
        <v>Sales: Handling Objections</v>
      </c>
      <c r="F67" s="141"/>
      <c r="G67" s="134"/>
      <c r="H67" s="134"/>
      <c r="I67" s="134"/>
      <c r="J67" s="138"/>
      <c r="K67" s="138"/>
      <c r="L67" s="143"/>
      <c r="M67" s="141"/>
      <c r="N67" s="134"/>
      <c r="O67" s="134"/>
      <c r="P67" s="134"/>
      <c r="Q67" s="138"/>
      <c r="R67" s="138"/>
      <c r="S67" s="143"/>
      <c r="T67" s="141"/>
      <c r="U67" s="134"/>
      <c r="V67" s="134"/>
    </row>
    <row r="68" spans="1:22" ht="33.75" customHeight="1" x14ac:dyDescent="0.15">
      <c r="A68" s="134"/>
      <c r="B68" s="134"/>
      <c r="C68" s="138">
        <f ca="1">IFERROR(__xludf.DUMMYFUNCTION("""COMPUTED_VALUE"""),2226728)</f>
        <v>2226728</v>
      </c>
      <c r="D68" s="138" t="str">
        <f ca="1">IFERROR(__xludf.DUMMYFUNCTION("""COMPUTED_VALUE"""),"Intermediate")</f>
        <v>Intermediate</v>
      </c>
      <c r="E68" s="139" t="str">
        <f ca="1">IFERROR(__xludf.DUMMYFUNCTION("""COMPUTED_VALUE"""),"Aligning Sales and Marketing")</f>
        <v>Aligning Sales and Marketing</v>
      </c>
      <c r="F68" s="141"/>
      <c r="G68" s="134"/>
      <c r="H68" s="134"/>
      <c r="I68" s="134"/>
      <c r="J68" s="138"/>
      <c r="K68" s="138"/>
      <c r="L68" s="143"/>
      <c r="M68" s="141"/>
      <c r="N68" s="134"/>
      <c r="O68" s="134"/>
      <c r="P68" s="134"/>
      <c r="Q68" s="138"/>
      <c r="R68" s="138"/>
      <c r="S68" s="143"/>
      <c r="T68" s="141"/>
      <c r="U68" s="134"/>
      <c r="V68" s="134"/>
    </row>
    <row r="69" spans="1:22" ht="33.75" customHeight="1" x14ac:dyDescent="0.15">
      <c r="A69" s="134"/>
      <c r="B69" s="134"/>
      <c r="C69" s="138">
        <f ca="1">IFERROR(__xludf.DUMMYFUNCTION("""COMPUTED_VALUE"""),2814164)</f>
        <v>2814164</v>
      </c>
      <c r="D69" s="138" t="str">
        <f ca="1">IFERROR(__xludf.DUMMYFUNCTION("""COMPUTED_VALUE"""),"Intermediate")</f>
        <v>Intermediate</v>
      </c>
      <c r="E69" s="139" t="str">
        <f ca="1">IFERROR(__xludf.DUMMYFUNCTION("""COMPUTED_VALUE"""),"Sales Enablement")</f>
        <v>Sales Enablement</v>
      </c>
      <c r="F69" s="141"/>
      <c r="G69" s="134"/>
      <c r="H69" s="134"/>
      <c r="I69" s="134"/>
      <c r="J69" s="138"/>
      <c r="K69" s="138"/>
      <c r="L69" s="143"/>
      <c r="M69" s="141"/>
      <c r="N69" s="134"/>
      <c r="O69" s="134"/>
      <c r="P69" s="134"/>
      <c r="Q69" s="138"/>
      <c r="R69" s="138"/>
      <c r="S69" s="143"/>
      <c r="T69" s="141"/>
      <c r="U69" s="134"/>
      <c r="V69" s="134"/>
    </row>
    <row r="70" spans="1:22" ht="33.75" customHeight="1" x14ac:dyDescent="0.15">
      <c r="A70" s="134"/>
      <c r="B70" s="134"/>
      <c r="C70" s="138">
        <f ca="1">IFERROR(__xludf.DUMMYFUNCTION("""COMPUTED_VALUE"""),2822055)</f>
        <v>2822055</v>
      </c>
      <c r="D70" s="138" t="str">
        <f ca="1">IFERROR(__xludf.DUMMYFUNCTION("""COMPUTED_VALUE"""),"Intermediate")</f>
        <v>Intermediate</v>
      </c>
      <c r="E70" s="139" t="str">
        <f ca="1">IFERROR(__xludf.DUMMYFUNCTION("""COMPUTED_VALUE"""),"Empathy for Sales Professionals")</f>
        <v>Empathy for Sales Professionals</v>
      </c>
      <c r="F70" s="141"/>
      <c r="G70" s="134"/>
      <c r="H70" s="134"/>
      <c r="I70" s="134"/>
      <c r="J70" s="138"/>
      <c r="K70" s="138"/>
      <c r="L70" s="143"/>
      <c r="M70" s="141"/>
      <c r="N70" s="134"/>
      <c r="O70" s="134"/>
      <c r="P70" s="134"/>
      <c r="Q70" s="138"/>
      <c r="R70" s="138"/>
      <c r="S70" s="143"/>
      <c r="T70" s="141"/>
      <c r="U70" s="134"/>
      <c r="V70" s="134"/>
    </row>
    <row r="71" spans="1:22" ht="33.75" customHeight="1" x14ac:dyDescent="0.15">
      <c r="A71" s="134"/>
      <c r="B71" s="134"/>
      <c r="C71" s="138">
        <f ca="1">IFERROR(__xludf.DUMMYFUNCTION("""COMPUTED_VALUE"""),5035799)</f>
        <v>5035799</v>
      </c>
      <c r="D71" s="138" t="str">
        <f ca="1">IFERROR(__xludf.DUMMYFUNCTION("""COMPUTED_VALUE"""),"Intermediate")</f>
        <v>Intermediate</v>
      </c>
      <c r="E71" s="139" t="str">
        <f ca="1">IFERROR(__xludf.DUMMYFUNCTION("""COMPUTED_VALUE"""),"Asking Great Sales Questions")</f>
        <v>Asking Great Sales Questions</v>
      </c>
      <c r="F71" s="141"/>
      <c r="G71" s="134"/>
      <c r="H71" s="134"/>
      <c r="I71" s="134"/>
      <c r="J71" s="138"/>
      <c r="K71" s="138"/>
      <c r="L71" s="143"/>
      <c r="M71" s="141"/>
      <c r="N71" s="134"/>
      <c r="O71" s="134"/>
      <c r="P71" s="134"/>
      <c r="Q71" s="138"/>
      <c r="R71" s="138"/>
      <c r="S71" s="143"/>
      <c r="T71" s="141"/>
      <c r="U71" s="134"/>
      <c r="V71" s="134"/>
    </row>
    <row r="72" spans="1:22" ht="33.75" customHeight="1" x14ac:dyDescent="0.15">
      <c r="A72" s="134"/>
      <c r="B72" s="134"/>
      <c r="C72" s="138">
        <f ca="1">IFERROR(__xludf.DUMMYFUNCTION("""COMPUTED_VALUE"""),2846052)</f>
        <v>2846052</v>
      </c>
      <c r="D72" s="138" t="str">
        <f ca="1">IFERROR(__xludf.DUMMYFUNCTION("""COMPUTED_VALUE"""),"Intermediate")</f>
        <v>Intermediate</v>
      </c>
      <c r="E72" s="139" t="str">
        <f ca="1">IFERROR(__xludf.DUMMYFUNCTION("""COMPUTED_VALUE"""),"Selling with Empathy during Uncertain Times")</f>
        <v>Selling with Empathy during Uncertain Times</v>
      </c>
      <c r="F72" s="141"/>
      <c r="G72" s="134"/>
      <c r="H72" s="134"/>
      <c r="I72" s="134"/>
      <c r="J72" s="138"/>
      <c r="K72" s="138"/>
      <c r="L72" s="143"/>
      <c r="M72" s="141"/>
      <c r="N72" s="134"/>
      <c r="O72" s="134"/>
      <c r="P72" s="134"/>
      <c r="Q72" s="138"/>
      <c r="R72" s="138"/>
      <c r="S72" s="143"/>
      <c r="T72" s="141"/>
      <c r="U72" s="134"/>
      <c r="V72" s="134"/>
    </row>
    <row r="73" spans="1:22" ht="33.75" customHeight="1" x14ac:dyDescent="0.15">
      <c r="A73" s="134"/>
      <c r="B73" s="134"/>
      <c r="C73" s="138"/>
      <c r="D73" s="138"/>
      <c r="E73" s="143"/>
      <c r="F73" s="141"/>
      <c r="G73" s="134"/>
      <c r="H73" s="134"/>
      <c r="I73" s="134"/>
      <c r="J73" s="138"/>
      <c r="K73" s="138"/>
      <c r="L73" s="143"/>
      <c r="M73" s="141"/>
      <c r="N73" s="134"/>
      <c r="O73" s="134"/>
      <c r="P73" s="134"/>
      <c r="Q73" s="138"/>
      <c r="R73" s="138"/>
      <c r="S73" s="143"/>
      <c r="T73" s="141"/>
      <c r="U73" s="134"/>
      <c r="V73" s="134"/>
    </row>
    <row r="74" spans="1:22" ht="33.75" customHeight="1" x14ac:dyDescent="0.15">
      <c r="A74" s="134"/>
      <c r="B74" s="134"/>
      <c r="C74" s="138"/>
      <c r="D74" s="138"/>
      <c r="E74" s="143"/>
      <c r="F74" s="141"/>
      <c r="G74" s="134"/>
      <c r="H74" s="134"/>
      <c r="I74" s="134"/>
      <c r="J74" s="138"/>
      <c r="K74" s="138"/>
      <c r="L74" s="143"/>
      <c r="M74" s="141"/>
      <c r="N74" s="134"/>
      <c r="O74" s="134"/>
      <c r="P74" s="134"/>
      <c r="Q74" s="138"/>
      <c r="R74" s="138"/>
      <c r="S74" s="143"/>
      <c r="T74" s="141"/>
      <c r="U74" s="134"/>
      <c r="V74" s="134"/>
    </row>
    <row r="75" spans="1:22" ht="14" x14ac:dyDescent="0.15">
      <c r="A75" s="134"/>
      <c r="B75" s="134"/>
      <c r="C75" s="138"/>
      <c r="D75" s="138"/>
      <c r="E75" s="143"/>
      <c r="F75" s="141"/>
      <c r="G75" s="134"/>
      <c r="H75" s="134"/>
      <c r="I75" s="134"/>
      <c r="J75" s="138"/>
      <c r="K75" s="138"/>
      <c r="L75" s="143"/>
      <c r="M75" s="141"/>
      <c r="N75" s="134"/>
      <c r="O75" s="134"/>
      <c r="P75" s="134"/>
      <c r="Q75" s="138"/>
      <c r="R75" s="138"/>
      <c r="S75" s="143"/>
      <c r="T75" s="141"/>
      <c r="U75" s="134"/>
      <c r="V75" s="134"/>
    </row>
    <row r="76" spans="1:22" ht="14" x14ac:dyDescent="0.15">
      <c r="A76" s="134"/>
      <c r="B76" s="134"/>
      <c r="C76" s="138"/>
      <c r="D76" s="138"/>
      <c r="E76" s="143"/>
      <c r="F76" s="141"/>
      <c r="G76" s="134"/>
      <c r="H76" s="134"/>
      <c r="I76" s="134"/>
      <c r="J76" s="138"/>
      <c r="K76" s="138"/>
      <c r="L76" s="143"/>
      <c r="M76" s="141"/>
      <c r="N76" s="134"/>
      <c r="O76" s="134"/>
      <c r="P76" s="134"/>
      <c r="Q76" s="138"/>
      <c r="R76" s="138"/>
      <c r="S76" s="143"/>
      <c r="T76" s="141"/>
      <c r="U76" s="134"/>
      <c r="V76" s="134"/>
    </row>
    <row r="77" spans="1:22" ht="14" x14ac:dyDescent="0.15">
      <c r="A77" s="134"/>
      <c r="B77" s="134"/>
      <c r="C77" s="138"/>
      <c r="D77" s="138"/>
      <c r="E77" s="143"/>
      <c r="F77" s="141"/>
      <c r="G77" s="134"/>
      <c r="H77" s="134"/>
      <c r="I77" s="134"/>
      <c r="J77" s="138"/>
      <c r="K77" s="138"/>
      <c r="L77" s="143"/>
      <c r="M77" s="141"/>
      <c r="N77" s="134"/>
      <c r="O77" s="134"/>
      <c r="P77" s="134"/>
      <c r="Q77" s="138"/>
      <c r="R77" s="138"/>
      <c r="S77" s="143"/>
      <c r="T77" s="141"/>
      <c r="U77" s="134"/>
      <c r="V77" s="134"/>
    </row>
    <row r="78" spans="1:22" ht="14" x14ac:dyDescent="0.15">
      <c r="A78" s="134"/>
      <c r="B78" s="134"/>
      <c r="C78" s="138"/>
      <c r="D78" s="138"/>
      <c r="E78" s="143"/>
      <c r="F78" s="141"/>
      <c r="G78" s="134"/>
      <c r="H78" s="134"/>
      <c r="I78" s="134"/>
      <c r="J78" s="138"/>
      <c r="K78" s="138"/>
      <c r="L78" s="143"/>
      <c r="M78" s="141"/>
      <c r="N78" s="134"/>
      <c r="O78" s="134"/>
      <c r="P78" s="134"/>
      <c r="Q78" s="138"/>
      <c r="R78" s="138"/>
      <c r="S78" s="143"/>
      <c r="T78" s="141"/>
      <c r="U78" s="134"/>
      <c r="V78" s="134"/>
    </row>
    <row r="79" spans="1:22" ht="14" x14ac:dyDescent="0.15">
      <c r="A79" s="134"/>
      <c r="B79" s="134"/>
      <c r="C79" s="138"/>
      <c r="D79" s="138"/>
      <c r="E79" s="143"/>
      <c r="F79" s="141"/>
      <c r="G79" s="134"/>
      <c r="H79" s="134"/>
      <c r="I79" s="134"/>
      <c r="J79" s="138"/>
      <c r="K79" s="138"/>
      <c r="L79" s="143"/>
      <c r="M79" s="141"/>
      <c r="N79" s="134"/>
      <c r="O79" s="134"/>
      <c r="P79" s="134"/>
      <c r="Q79" s="138"/>
      <c r="R79" s="138"/>
      <c r="S79" s="143"/>
      <c r="T79" s="141"/>
      <c r="U79" s="134"/>
      <c r="V79" s="134"/>
    </row>
    <row r="80" spans="1:22" ht="14" x14ac:dyDescent="0.15">
      <c r="A80" s="134"/>
      <c r="B80" s="134"/>
      <c r="C80" s="138"/>
      <c r="D80" s="138"/>
      <c r="E80" s="143"/>
      <c r="F80" s="141"/>
      <c r="G80" s="134"/>
      <c r="H80" s="134"/>
      <c r="I80" s="134"/>
      <c r="J80" s="138"/>
      <c r="K80" s="138"/>
      <c r="L80" s="143"/>
      <c r="M80" s="141"/>
      <c r="N80" s="134"/>
      <c r="O80" s="134"/>
      <c r="P80" s="134"/>
      <c r="Q80" s="138"/>
      <c r="R80" s="138"/>
      <c r="S80" s="143"/>
      <c r="T80" s="141"/>
      <c r="U80" s="134"/>
      <c r="V80" s="134"/>
    </row>
  </sheetData>
  <mergeCells count="9">
    <mergeCell ref="Q2:T2"/>
    <mergeCell ref="Q3:T3"/>
    <mergeCell ref="C1:F1"/>
    <mergeCell ref="J1:M1"/>
    <mergeCell ref="Q1:T1"/>
    <mergeCell ref="C2:F2"/>
    <mergeCell ref="J2:M2"/>
    <mergeCell ref="C3:F3"/>
    <mergeCell ref="J3:M3"/>
  </mergeCells>
  <hyperlinks>
    <hyperlink ref="E5" r:id="rId1" display="https://www.linkedin.com/learning/sales-coaching" xr:uid="{00000000-0004-0000-0B00-000000000000}"/>
    <hyperlink ref="F5" r:id="rId2" display="https://www.linkedin.com/learning/paths/develop-your-sales-knowledge-and-skills" xr:uid="{00000000-0004-0000-0B00-000001000000}"/>
    <hyperlink ref="L5" r:id="rId3" display="https://www.linkedin.com/learning/business-development-strategic-planning" xr:uid="{00000000-0004-0000-0B00-000002000000}"/>
    <hyperlink ref="M5" r:id="rId4" display="https://www.linkedin.com/learning/paths/develop-your-strategic-planning-skills" xr:uid="{00000000-0004-0000-0B00-000003000000}"/>
    <hyperlink ref="S5" r:id="rId5" display="https://www.linkedin.com/learning/employee-engagement" xr:uid="{00000000-0004-0000-0B00-000004000000}"/>
    <hyperlink ref="T5" r:id="rId6" display="https://www.linkedin.com/learning/paths/develop-motivate-and-retain-employees" xr:uid="{00000000-0004-0000-0B00-000005000000}"/>
    <hyperlink ref="E6" r:id="rId7" display="https://www.linkedin.com/learning/salesforce-for-sales-managers" xr:uid="{00000000-0004-0000-0B00-000006000000}"/>
    <hyperlink ref="F6" r:id="rId8" display="https://www.linkedin.com/learning/paths/become-a-sales-manager" xr:uid="{00000000-0004-0000-0B00-000007000000}"/>
    <hyperlink ref="L6" r:id="rId9" display="https://www.linkedin.com/learning/creating-a-culture-of-change" xr:uid="{00000000-0004-0000-0B00-000008000000}"/>
    <hyperlink ref="M6" r:id="rId10" display="https://www.linkedin.com/learning/paths/become-a-business-unit-manager-2" xr:uid="{00000000-0004-0000-0B00-000009000000}"/>
    <hyperlink ref="S6" r:id="rId11" display="https://www.linkedin.com/learning/creating-a-high-performance-culture/components-of-high-performing-cultures" xr:uid="{00000000-0004-0000-0B00-00000A000000}"/>
    <hyperlink ref="T6" r:id="rId12" display="https://www.linkedin.com/learning/paths/become-an-ld-professional" xr:uid="{00000000-0004-0000-0B00-00000B000000}"/>
    <hyperlink ref="E7" r:id="rId13" display="https://www.linkedin.com/learning/the-persuasion-code-the-neuroscience-of-sales" xr:uid="{00000000-0004-0000-0B00-00000C000000}"/>
    <hyperlink ref="F7" r:id="rId14" display="https://www.linkedin.com/learning/paths/become-a-sales-representative" xr:uid="{00000000-0004-0000-0B00-00000D000000}"/>
    <hyperlink ref="L7" r:id="rId15" display="https://www.linkedin.com/learning/creating-a-culture-of-strategy-execution" xr:uid="{00000000-0004-0000-0B00-00000E000000}"/>
    <hyperlink ref="M7" r:id="rId16" display="https://www.linkedin.com/learning/paths/managing-change" xr:uid="{00000000-0004-0000-0B00-00000F000000}"/>
    <hyperlink ref="S7" r:id="rId17" display="https://www.linkedin.com/learning/creating-a-positive-and-healthy-work-environment" xr:uid="{00000000-0004-0000-0B00-000010000000}"/>
    <hyperlink ref="T7" r:id="rId18" display="https://www.linkedin.com/learning/paths/improve-your-coaching-skills-as-a-manager" xr:uid="{00000000-0004-0000-0B00-000011000000}"/>
    <hyperlink ref="E8" r:id="rId19" display="https://www.linkedin.com/learning/sales-closing-strategies" xr:uid="{00000000-0004-0000-0B00-000012000000}"/>
    <hyperlink ref="F8" r:id="rId20" display="https://www.linkedin.com/learning/paths/succeeding-in-sales-during-times-of-volatility" xr:uid="{00000000-0004-0000-0B00-000013000000}"/>
    <hyperlink ref="L8" r:id="rId21" display="https://www.linkedin.com/learning/global-strategy/welcome" xr:uid="{00000000-0004-0000-0B00-000014000000}"/>
    <hyperlink ref="M8" r:id="rId22" display="https://www.linkedin.com/learning/paths/become-a-content-strategist-2" xr:uid="{00000000-0004-0000-0B00-000015000000}"/>
    <hyperlink ref="S8" r:id="rId23" display="https://www.linkedin.com/learning/succession-planning" xr:uid="{00000000-0004-0000-0B00-000016000000}"/>
    <hyperlink ref="T8" r:id="rId24" display="https://www.linkedin.com/learning/paths/finding-and-retaining-talent" xr:uid="{00000000-0004-0000-0B00-000017000000}"/>
    <hyperlink ref="E9" r:id="rId25" display="https://www.linkedin.com/learning/advanced-persuasive-selling-persuading-different-personality-types" xr:uid="{00000000-0004-0000-0B00-000018000000}"/>
    <hyperlink ref="L9" r:id="rId26" display="https://www.linkedin.com/learning/leading-with-vision" xr:uid="{00000000-0004-0000-0B00-000019000000}"/>
    <hyperlink ref="M9" r:id="rId27" display="https://www.linkedin.com/learning/paths/become-a-business-operations-associate" xr:uid="{00000000-0004-0000-0B00-00001A000000}"/>
    <hyperlink ref="S9" r:id="rId28" display="https://www.linkedin.com/learning/using-neuroscience-for-more-effective-l-d" xr:uid="{00000000-0004-0000-0B00-00001B000000}"/>
    <hyperlink ref="T9" r:id="rId29" display="https://www.linkedin.com/learning/paths/advance-your-skills-as-a-manager" xr:uid="{00000000-0004-0000-0B00-00001C000000}"/>
    <hyperlink ref="E10" r:id="rId30" display="https://www.linkedin.com/learning/selling-to-the-c-suite" xr:uid="{00000000-0004-0000-0B00-00001D000000}"/>
    <hyperlink ref="L10" r:id="rId31" display="https://www.linkedin.com/learning/strategic-agility/welcome" xr:uid="{00000000-0004-0000-0B00-00001E000000}"/>
    <hyperlink ref="M10" r:id="rId32" display="https://www.linkedin.com/learning/paths/become-a-business-analyst" xr:uid="{00000000-0004-0000-0B00-00001F000000}"/>
    <hyperlink ref="S10" r:id="rId33" display="https://www.linkedin.com/learning/redefining-workplace-learning-analytics" xr:uid="{00000000-0004-0000-0B00-000020000000}"/>
    <hyperlink ref="T10" r:id="rId34" display="https://www.linkedin.com/learning/paths/diversity-inclusion-and-belonging-for-leaders-and-managers" xr:uid="{00000000-0004-0000-0B00-000021000000}"/>
    <hyperlink ref="E11" r:id="rId35" display="https://www.linkedin.com/learning/sales-foundations" xr:uid="{00000000-0004-0000-0B00-000022000000}"/>
    <hyperlink ref="L11" r:id="rId36" display="https://www.linkedin.com/learning/strategic-partnerships-ecosystems-and-platforms" xr:uid="{00000000-0004-0000-0B00-000023000000}"/>
    <hyperlink ref="M11" r:id="rId37" display="https://www.linkedin.com/learning/paths/applying-lean-devops-and-agile-to-your-it-organization" xr:uid="{00000000-0004-0000-0B00-000024000000}"/>
    <hyperlink ref="S11" r:id="rId38" display="https://www.linkedin.com/learning/building-your-team" xr:uid="{00000000-0004-0000-0B00-000025000000}"/>
    <hyperlink ref="T11" r:id="rId39" display="https://www.linkedin.com/learning/paths/become-a-senior-manager" xr:uid="{00000000-0004-0000-0B00-000026000000}"/>
    <hyperlink ref="E12" r:id="rId40" display="https://www.linkedin.com/learning/sales-management-foundations" xr:uid="{00000000-0004-0000-0B00-000027000000}"/>
    <hyperlink ref="L12" r:id="rId41" display="https://www.linkedin.com/learning/strategies-for-emerging-markets" xr:uid="{00000000-0004-0000-0B00-000028000000}"/>
    <hyperlink ref="M12" r:id="rId42" display="https://www.linkedin.com/learning/paths/digital-transformation-for-leaders" xr:uid="{00000000-0004-0000-0B00-000029000000}"/>
    <hyperlink ref="S12" r:id="rId43" display="https://www.linkedin.com/learning/setting-team-and-employee-goals" xr:uid="{00000000-0004-0000-0B00-00002A000000}"/>
    <hyperlink ref="E13" r:id="rId44" display="https://www.linkedin.com/learning/networking-for-sales-professionals" xr:uid="{00000000-0004-0000-0B00-00002B000000}"/>
    <hyperlink ref="L13" r:id="rId45" display="https://www.linkedin.com/learning/digital-strategy" xr:uid="{00000000-0004-0000-0B00-00002C000000}"/>
    <hyperlink ref="M13" r:id="rId46" display="https://www.linkedin.com/learning/paths/become-a-corporate-financial-planning-analyst" xr:uid="{00000000-0004-0000-0B00-00002D000000}"/>
    <hyperlink ref="S13" r:id="rId47" display="https://www.linkedin.com/learning/talent-management/what-you-should-know-before-watching-this-course" xr:uid="{00000000-0004-0000-0B00-00002E000000}"/>
    <hyperlink ref="E14" r:id="rId48" display="https://www.linkedin.com/learning/following-up-after-a-sales-meeting" xr:uid="{00000000-0004-0000-0B00-00002F000000}"/>
    <hyperlink ref="L14" r:id="rId49" display="https://www.linkedin.com/learning/emerging-digital-technologies-case-studies-for-leaders" xr:uid="{00000000-0004-0000-0B00-000030000000}"/>
    <hyperlink ref="S14" r:id="rId50" display="https://www.linkedin.com/learning/managing-high-performers" xr:uid="{00000000-0004-0000-0B00-000031000000}"/>
    <hyperlink ref="E15" r:id="rId51" display="https://www.linkedin.com/learning/sales-discovery" xr:uid="{00000000-0004-0000-0B00-000032000000}"/>
    <hyperlink ref="L15" r:id="rId52" display="https://www.linkedin.com/learning/driving-measurable-sustainable-change" xr:uid="{00000000-0004-0000-0B00-000033000000}"/>
    <hyperlink ref="S15" r:id="rId53" display="https://www.linkedin.com/learning/managing-high-potentials" xr:uid="{00000000-0004-0000-0B00-000034000000}"/>
    <hyperlink ref="E16" r:id="rId54" display="https://www.linkedin.com/learning/social-selling-foundations-2019" xr:uid="{00000000-0004-0000-0B00-000035000000}"/>
    <hyperlink ref="S16" r:id="rId55" display="https://www.linkedin.com/learning/boosting-your-team-s-productivity/next-steps" xr:uid="{00000000-0004-0000-0B00-000036000000}"/>
    <hyperlink ref="E17" r:id="rId56" display="https://www.linkedin.com/learning/building-a-competitive-matrix" xr:uid="{00000000-0004-0000-0B00-000037000000}"/>
    <hyperlink ref="L17" r:id="rId57" display="https://www.linkedin.com/learning/designing-an-authentic-brand" xr:uid="{00000000-0004-0000-0B00-000038000000}"/>
    <hyperlink ref="S17" r:id="rId58" display="https://www.linkedin.com/learning/women-transforming-tech-voices-from-the-field-2" xr:uid="{00000000-0004-0000-0B00-000039000000}"/>
    <hyperlink ref="E18" r:id="rId59" display="https://www.linkedin.com/learning/customer-success-management-fundamentals" xr:uid="{00000000-0004-0000-0B00-00003A000000}"/>
    <hyperlink ref="L18" r:id="rId60" display="https://www.linkedin.com/learning/sap-erp-essential-training,https:/www.linkedin.com/learning/sap-erp-essential-training-2,https:/www.linkedin.com/learning/sap-erp-essential-training-2020-revision" xr:uid="{00000000-0004-0000-0B00-00003B000000}"/>
    <hyperlink ref="S18" r:id="rId61" display="https://www.linkedin.com/learning/a-beginner-s-guide-to-finding-your-calling" xr:uid="{00000000-0004-0000-0B00-00003C000000}"/>
    <hyperlink ref="E19" r:id="rId62" display="https://www.linkedin.com/learning/value-realization-best-practices-for-customer-success-management" xr:uid="{00000000-0004-0000-0B00-00003D000000}"/>
    <hyperlink ref="L19" r:id="rId63" display="https://www.linkedin.com/learning/learning-logo-design,https:/www.linkedin.com/learning/learning-logo-design-revision" xr:uid="{00000000-0004-0000-0B00-00003E000000}"/>
    <hyperlink ref="S19" r:id="rId64" display="https://www.linkedin.com/learning/executive-coaching" xr:uid="{00000000-0004-0000-0B00-00003F000000}"/>
    <hyperlink ref="E20" r:id="rId65" display="https://www.linkedin.com/learning/avoiding-common-pitfalls-in-customer-success-management" xr:uid="{00000000-0004-0000-0B00-000040000000}"/>
    <hyperlink ref="L20" r:id="rId66" display="https://www.linkedin.com/learning/aaron-dignan-on-transformational-change" xr:uid="{00000000-0004-0000-0B00-000041000000}"/>
    <hyperlink ref="S20" r:id="rId67" display="https://www.linkedin.com/learning/ram-charan-on-coaching-high-potentials" xr:uid="{00000000-0004-0000-0B00-000042000000}"/>
    <hyperlink ref="E21" r:id="rId68" display="https://www.linkedin.com/learning/onboarding-and-adoption-best-practices-for-customer-success-management" xr:uid="{00000000-0004-0000-0B00-000043000000}"/>
    <hyperlink ref="L21" r:id="rId69" display="https://www.linkedin.com/learning/developing-a-competitive-strategy" xr:uid="{00000000-0004-0000-0B00-000044000000}"/>
    <hyperlink ref="S21" r:id="rId70" display="https://www.linkedin.com/learning/delegating-tasks" xr:uid="{00000000-0004-0000-0B00-000045000000}"/>
    <hyperlink ref="E22" r:id="rId71" display="https://www.linkedin.com/learning/business-analytics-sales-data" xr:uid="{00000000-0004-0000-0B00-000046000000}"/>
    <hyperlink ref="L22" r:id="rId72" display="https://www.linkedin.com/learning/strategic-thinking" xr:uid="{00000000-0004-0000-0B00-000047000000}"/>
    <hyperlink ref="S22" r:id="rId73" display="https://www.linkedin.com/learning/foundations-of-corporate-training" xr:uid="{00000000-0004-0000-0B00-000048000000}"/>
    <hyperlink ref="E23" r:id="rId74" display="https://www.linkedin.com/learning/learn-linkedin-sales-navigator-2020" xr:uid="{00000000-0004-0000-0B00-000049000000}"/>
    <hyperlink ref="L23" r:id="rId75" display="https://www.linkedin.com/learning/the-new-age-of-risk-management-strategy-for-business" xr:uid="{00000000-0004-0000-0B00-00004A000000}"/>
    <hyperlink ref="S23" r:id="rId76" display="https://www.linkedin.com/learning/lean-technology-strategy-building-high-performing-teams" xr:uid="{00000000-0004-0000-0B00-00004B000000}"/>
    <hyperlink ref="E24" r:id="rId77" display="https://www.linkedin.com/learning/cold-calling-mastery" xr:uid="{00000000-0004-0000-0B00-00004C000000}"/>
    <hyperlink ref="L24" r:id="rId78" display="https://www.linkedin.com/learning/developing-your-execution-strategy" xr:uid="{00000000-0004-0000-0B00-00004D000000}"/>
    <hyperlink ref="S24" r:id="rId79" display="https://www.linkedin.com/learning/women-transforming-tech-finding-sponsors" xr:uid="{00000000-0004-0000-0B00-00004E000000}"/>
    <hyperlink ref="E25" r:id="rId80" display="https://www.linkedin.com/learning/prepare-yourself-for-a-career-in-sales-2020" xr:uid="{00000000-0004-0000-0B00-00004F000000}"/>
    <hyperlink ref="L25" r:id="rId81" display="https://www.linkedin.com/learning/defining-and-segmenting-competition" xr:uid="{00000000-0004-0000-0B00-000050000000}"/>
    <hyperlink ref="S25" r:id="rId82" display="https://www.linkedin.com/learning/women-transforming-tech-breaking-in-and-staying-in-the-industry" xr:uid="{00000000-0004-0000-0B00-000051000000}"/>
    <hyperlink ref="E26" r:id="rId83" display="https://www.linkedin.com/learning/engagement-preparation-best-practices-for-customer-success-management" xr:uid="{00000000-0004-0000-0B00-000052000000}"/>
    <hyperlink ref="L26" r:id="rId84" display="https://www.linkedin.com/learning/market-trends-and-how-to-identify-them" xr:uid="{00000000-0004-0000-0B00-000053000000}"/>
    <hyperlink ref="S26" r:id="rId85" display="https://www.linkedin.com/learning/rules-for-rising-leaders" xr:uid="{00000000-0004-0000-0B00-000054000000}"/>
    <hyperlink ref="E27" r:id="rId86" display="https://www.linkedin.com/learning/engagement-evaluation-best-practices-for-customer-success-management" xr:uid="{00000000-0004-0000-0B00-000055000000}"/>
    <hyperlink ref="L27" r:id="rId87" display="https://www.linkedin.com/learning/creating-a-unique-competitive-advantage" xr:uid="{00000000-0004-0000-0B00-000056000000}"/>
    <hyperlink ref="S27" r:id="rId88" display="https://www.linkedin.com/learning/make-the-move-from-individual-contributor-to-manager-2019" xr:uid="{00000000-0004-0000-0B00-000057000000}"/>
    <hyperlink ref="E28" r:id="rId89" display="https://www.linkedin.com/learning/creating-your-sales-process-2020" xr:uid="{00000000-0004-0000-0B00-000058000000}"/>
    <hyperlink ref="L28" r:id="rId90" display="https://www.linkedin.com/learning/azure-understanding-the-big-picture-revision-q2-2020" xr:uid="{00000000-0004-0000-0B00-000059000000}"/>
    <hyperlink ref="S28" r:id="rId91" display="https://www.linkedin.com/learning/the-secrets-to-success-at-work-uk" xr:uid="{00000000-0004-0000-0B00-00005A000000}"/>
    <hyperlink ref="E29" r:id="rId92" display="https://www.linkedin.com/learning/business-fundamentals-for-customer-success-managers" xr:uid="{00000000-0004-0000-0B00-00005B000000}"/>
    <hyperlink ref="L29" r:id="rId93" display="https://www.linkedin.com/learning/introduction-to-business-analytics" xr:uid="{00000000-0004-0000-0B00-00005C000000}"/>
    <hyperlink ref="S29" r:id="rId94" display="https://www.linkedin.com/learning/goal-setting-objectives-and-key-results-okrs" xr:uid="{00000000-0004-0000-0B00-00005D000000}"/>
    <hyperlink ref="E30" r:id="rId95" display="https://www.linkedin.com/learning/sales-fundamentals" xr:uid="{00000000-0004-0000-0B00-00005E000000}"/>
    <hyperlink ref="L30" r:id="rId96" display="https://www.linkedin.com/learning/evaluating-and-evolving-your-business-model" xr:uid="{00000000-0004-0000-0B00-00005F000000}"/>
    <hyperlink ref="S30" r:id="rId97" display="https://www.linkedin.com/learning/recognizing-and-rewarding-your-workers" xr:uid="{00000000-0004-0000-0B00-000060000000}"/>
    <hyperlink ref="E31" r:id="rId98" display="https://www.linkedin.com/learning/cold-calling-sales-objections-and-how-to-overcome-them" xr:uid="{00000000-0004-0000-0B00-000061000000}"/>
    <hyperlink ref="L31" r:id="rId99" display="https://www.linkedin.com/learning/your-product-or-service-strategy-explained" xr:uid="{00000000-0004-0000-0B00-000062000000}"/>
    <hyperlink ref="S31" r:id="rId100" display="https://www.linkedin.com/learning/increase-visibility-to-advance-your-career" xr:uid="{00000000-0004-0000-0B00-000063000000}"/>
    <hyperlink ref="E32" r:id="rId101" display="https://www.linkedin.com/learning/selling-with-authenticity" xr:uid="{00000000-0004-0000-0B00-000064000000}"/>
    <hyperlink ref="L32" r:id="rId102" display="https://www.linkedin.com/learning/goal-setting-objectives-and-key-results-okrs" xr:uid="{00000000-0004-0000-0B00-000065000000}"/>
    <hyperlink ref="S32" r:id="rId103" display="https://www.linkedin.com/learning/developing-adaptable-employees" xr:uid="{00000000-0004-0000-0B00-000066000000}"/>
    <hyperlink ref="E33" r:id="rId104" display="https://www.linkedin.com/learning/jeffrey-gitomer-s-little-red-book-of-sales-answers-getabstract-summary" xr:uid="{00000000-0004-0000-0B00-000067000000}"/>
    <hyperlink ref="L33" r:id="rId105" display="https://www.linkedin.com/learning/safeguarding-ai" xr:uid="{00000000-0004-0000-0B00-000068000000}"/>
    <hyperlink ref="S33" r:id="rId106" display="https://www.linkedin.com/learning/giving-and-receiving-feedback" xr:uid="{00000000-0004-0000-0B00-000069000000}"/>
    <hyperlink ref="E34" r:id="rId107" display="https://www.linkedin.com/learning/cold-calling-business-leaders" xr:uid="{00000000-0004-0000-0B00-00006A000000}"/>
    <hyperlink ref="L34" r:id="rId108" display="https://www.linkedin.com/learning/the-45-minute-business-plan" xr:uid="{00000000-0004-0000-0B00-00006B000000}"/>
    <hyperlink ref="S34" r:id="rId109" display="https://www.linkedin.com/learning/rewarding-employee-performance" xr:uid="{00000000-0004-0000-0B00-00006C000000}"/>
    <hyperlink ref="E35" r:id="rId110" display="https://www.linkedin.com/learning/how-to-tell-stories-that-win-market-share" xr:uid="{00000000-0004-0000-0B00-00006D000000}"/>
    <hyperlink ref="L35" r:id="rId111" display="https://www.linkedin.com/learning/strategic-partnerships" xr:uid="{00000000-0004-0000-0B00-00006E000000}"/>
    <hyperlink ref="S35" r:id="rId112" display="https://www.linkedin.com/learning/improving-employee-performance" xr:uid="{00000000-0004-0000-0B00-00006F000000}"/>
    <hyperlink ref="E36" r:id="rId113" display="https://www.linkedin.com/learning/creating-powerful-sales-proposals" xr:uid="{00000000-0004-0000-0B00-000070000000}"/>
    <hyperlink ref="L36" r:id="rId114" display="https://www.linkedin.com/learning/emily-cohen-brutal-honesty-as-a-business-strategy" xr:uid="{00000000-0004-0000-0B00-000071000000}"/>
    <hyperlink ref="S36" r:id="rId115" display="https://www.linkedin.com/learning/motivating-and-engaging-employees-2/welcome" xr:uid="{00000000-0004-0000-0B00-000072000000}"/>
    <hyperlink ref="E37" r:id="rId116" display="https://www.linkedin.com/learning/transitioning-to-management-for-salespeople" xr:uid="{00000000-0004-0000-0B00-000073000000}"/>
    <hyperlink ref="L37" r:id="rId117" display="https://www.linkedin.com/learning/strategy-a-history-getabstract-summary" xr:uid="{00000000-0004-0000-0B00-000074000000}"/>
    <hyperlink ref="S37" r:id="rId118" display="https://www.linkedin.com/learning/coaching-and-developing-employees-4/become-a-great-coach-and-leader" xr:uid="{00000000-0004-0000-0B00-000075000000}"/>
    <hyperlink ref="E38" r:id="rId119" display="https://www.linkedin.com/learning/customer-retention/welcome" xr:uid="{00000000-0004-0000-0B00-000076000000}"/>
    <hyperlink ref="L38" r:id="rId120" display="https://www.linkedin.com/learning/how-to-make-strategic-thinking-a-habit" xr:uid="{00000000-0004-0000-0B00-000077000000}"/>
    <hyperlink ref="S38" r:id="rId121" display="https://www.linkedin.com/learning/delivering-employee-feedback-4" xr:uid="{00000000-0004-0000-0B00-000078000000}"/>
    <hyperlink ref="E39" r:id="rId122" display="https://www.linkedin.com/learning/business-to-business-sales" xr:uid="{00000000-0004-0000-0B00-000079000000}"/>
    <hyperlink ref="L39" r:id="rId123" display="https://www.linkedin.com/learning/thinking-in-new-boxes-a-new-paradigm-for-business-creativity" xr:uid="{00000000-0004-0000-0B00-00007A000000}"/>
    <hyperlink ref="S39" r:id="rId124" display="https://www.linkedin.com/learning/how-to-be-a-good-mentee-and-mentor" xr:uid="{00000000-0004-0000-0B00-00007B000000}"/>
    <hyperlink ref="E40" r:id="rId125" display="https://www.linkedin.com/learning/selling-to-executives/next-steps" xr:uid="{00000000-0004-0000-0B00-00007C000000}"/>
    <hyperlink ref="L40" r:id="rId126" display="https://www.linkedin.com/learning/the-secret-what-great-leaders-know-and-do-getabstract-summary" xr:uid="{00000000-0004-0000-0B00-00007D000000}"/>
    <hyperlink ref="S40" r:id="rId127" display="https://www.linkedin.com/learning/why-motivating-people-doesn-t-work-and-what-does-getabstract-summary" xr:uid="{00000000-0004-0000-0B00-00007E000000}"/>
    <hyperlink ref="E41" r:id="rId128" display="https://www.linkedin.com/learning/influencing-others" xr:uid="{00000000-0004-0000-0B00-00007F000000}"/>
    <hyperlink ref="L41" r:id="rId129" display="https://www.linkedin.com/learning/technology-ethics" xr:uid="{00000000-0004-0000-0B00-000080000000}"/>
    <hyperlink ref="S41" r:id="rId130" display="https://www.linkedin.com/learning/the-purpose-effect-getabstract-summary" xr:uid="{00000000-0004-0000-0B00-000081000000}"/>
    <hyperlink ref="E42" r:id="rId131" display="https://www.linkedin.com/learning/running-a-design-business-writing-and-pricing-winning-proposals" xr:uid="{00000000-0004-0000-0B00-000082000000}"/>
    <hyperlink ref="L42" r:id="rId132" display="https://www.linkedin.com/learning/following-the-digital-thread" xr:uid="{00000000-0004-0000-0B00-000083000000}"/>
    <hyperlink ref="S42" r:id="rId133" display="https://www.linkedin.com/learning/bring-your-human-to-work-getabstract-summary" xr:uid="{00000000-0004-0000-0B00-000084000000}"/>
    <hyperlink ref="E43" r:id="rId134" display="https://www.linkedin.com/learning/just-ask-dean-karrel-2020" xr:uid="{00000000-0004-0000-0B00-000085000000}"/>
    <hyperlink ref="L43" r:id="rId135" display="https://www.linkedin.com/learning/leading-with-next-generation-kpis-with-michael-schrage" xr:uid="{00000000-0004-0000-0B00-000086000000}"/>
    <hyperlink ref="S43" r:id="rId136" display="https://www.linkedin.com/learning/all-you-have-to-do-is-ask-how-to-ask-for-help-when-you-need-it" xr:uid="{00000000-0004-0000-0B00-000087000000}"/>
    <hyperlink ref="E44" r:id="rId137" display="https://www.linkedin.com/learning/sales-management-simplified-blinkist-summary" xr:uid="{00000000-0004-0000-0B00-000088000000}"/>
    <hyperlink ref="L44" r:id="rId138" display="https://www.linkedin.com/learning/content-marketing-roi,https:/www.linkedin.com/learning/content-marketing-roi-2,https:/www.linkedin.com/learning/content-marketing-roi-revision-2020" xr:uid="{00000000-0004-0000-0B00-000089000000}"/>
    <hyperlink ref="S44" r:id="rId139" display="https://www.linkedin.com/learning/how-to-succeed-in-a-case-study-interview" xr:uid="{00000000-0004-0000-0B00-00008A000000}"/>
    <hyperlink ref="E45" r:id="rId140" display="https://www.linkedin.com/learning/flip-the-script-a-toolkit-for-sellers-and-negotiators-blinkist-summary" xr:uid="{00000000-0004-0000-0B00-00008B000000}"/>
    <hyperlink ref="L45" r:id="rId141" display="https://www.linkedin.com/learning/corporate-finance-strategies-for-business-leaders" xr:uid="{00000000-0004-0000-0B00-00008C000000}"/>
    <hyperlink ref="S45" r:id="rId142" display="https://www.linkedin.com/learning/getting-executive-buy-in-and-support-for-your-l-d-program,https:/www.linkedin.com/learning/the-future-of-workplace-learning" xr:uid="{00000000-0004-0000-0B00-00008D000000}"/>
    <hyperlink ref="E46" r:id="rId143" display="https://www.linkedin.com/learning/the-science-of-sales" xr:uid="{00000000-0004-0000-0B00-00008E000000}"/>
    <hyperlink ref="L46" r:id="rId144" display="https://www.linkedin.com/learning/create-a-go-to-market-plan-2,https:/www.linkedin.com/learning/create-a-go-to-market-plan-revision-2020" xr:uid="{00000000-0004-0000-0B00-00008F000000}"/>
    <hyperlink ref="S46" r:id="rId145" display="https://www.linkedin.com/learning/building-high-performance-teams" xr:uid="{00000000-0004-0000-0B00-000090000000}"/>
    <hyperlink ref="E47" r:id="rId146" display="https://www.linkedin.com/learning/sales-prospecting" xr:uid="{00000000-0004-0000-0B00-000091000000}"/>
    <hyperlink ref="L47" r:id="rId147" display="https://www.linkedin.com/learning/assessing-and-improving-strategic-plans" xr:uid="{00000000-0004-0000-0B00-000092000000}"/>
    <hyperlink ref="S47" r:id="rId148" display="https://www.linkedin.com/learning/measuring-team-performance" xr:uid="{00000000-0004-0000-0B00-000093000000}"/>
    <hyperlink ref="E48" r:id="rId149" display="https://www.linkedin.com/learning/making-great-sales-presentations" xr:uid="{00000000-0004-0000-0B00-000094000000}"/>
    <hyperlink ref="L48" r:id="rId150" display="https://www.linkedin.com/learning/business-development-foundations" xr:uid="{00000000-0004-0000-0B00-000095000000}"/>
    <hyperlink ref="S48" r:id="rId151" display="https://www.linkedin.com/learning/coaching-for-results" xr:uid="{00000000-0004-0000-0B00-000096000000}"/>
    <hyperlink ref="E49" r:id="rId152" display="https://www.linkedin.com/learning/managing-your-sales-territory" xr:uid="{00000000-0004-0000-0B00-000097000000}"/>
    <hyperlink ref="L49" r:id="rId153" display="https://www.linkedin.com/learning/designing-growth-strategies/the-growth-imperative" xr:uid="{00000000-0004-0000-0B00-000098000000}"/>
    <hyperlink ref="S49" r:id="rId154" display="https://www.linkedin.com/learning/creating-a-leadership-development-program" xr:uid="{00000000-0004-0000-0B00-000099000000}"/>
    <hyperlink ref="E50" r:id="rId155" display="https://www.linkedin.com/learning/analyzing-sales-competitors" xr:uid="{00000000-0004-0000-0B00-00009A000000}"/>
    <hyperlink ref="L50" r:id="rId156" display="https://www.linkedin.com/learning/developing-executive-presence/do-i-have-to-be-fake" xr:uid="{00000000-0004-0000-0B00-00009B000000}"/>
    <hyperlink ref="S50" r:id="rId157" display="https://www.linkedin.com/learning/developing-adaptable-managers" xr:uid="{00000000-0004-0000-0B00-00009C000000}"/>
    <hyperlink ref="E51" r:id="rId158" display="https://www.linkedin.com/learning/identify-sales-growth-opportunities/welcome" xr:uid="{00000000-0004-0000-0B00-00009D000000}"/>
    <hyperlink ref="L51" r:id="rId159" display="https://www.linkedin.com/learning/executive-decision-making/planning-for-long-range-impacts" xr:uid="{00000000-0004-0000-0B00-00009E000000}"/>
    <hyperlink ref="S51" r:id="rId160" display="https://www.linkedin.com/learning/coaching-employees-through-difficult-situations" xr:uid="{00000000-0004-0000-0B00-00009F000000}"/>
    <hyperlink ref="E52" r:id="rId161" display="https://www.linkedin.com/learning/measure-salesforce-effectiveness" xr:uid="{00000000-0004-0000-0B00-0000A0000000}"/>
    <hyperlink ref="L52" r:id="rId162" display="https://www.linkedin.com/learning/executive-leadership" xr:uid="{00000000-0004-0000-0B00-0000A1000000}"/>
    <hyperlink ref="S52" r:id="rId163" display="https://www.linkedin.com/learning/creating-the-conditions-for-others-to-thrive/welcome-2?u=104" xr:uid="{00000000-0004-0000-0B00-0000A2000000}"/>
    <hyperlink ref="E53" r:id="rId164" display="https://www.linkedin.com/learning/sales-negotiation/welcome" xr:uid="{00000000-0004-0000-0B00-0000A3000000}"/>
    <hyperlink ref="L53" r:id="rId165" display="https://www.linkedin.com/learning/measuring-business-performance" xr:uid="{00000000-0004-0000-0B00-0000A4000000}"/>
    <hyperlink ref="S53" r:id="rId166" display="https://www.linkedin.com/learning/employee-experience" xr:uid="{00000000-0004-0000-0B00-0000A5000000}"/>
    <hyperlink ref="E54" r:id="rId167" display="https://www.linkedin.com/learning/purpose-driven-sales/welcome" xr:uid="{00000000-0004-0000-0B00-0000A6000000}"/>
    <hyperlink ref="L54" r:id="rId168" display="https://www.linkedin.com/learning/organizational-learning-and-development" xr:uid="{00000000-0004-0000-0B00-0000A7000000}"/>
    <hyperlink ref="S54" r:id="rId169" display="https://www.linkedin.com/learning/coaching-skills-for-leaders-and-managers" xr:uid="{00000000-0004-0000-0B00-0000A8000000}"/>
    <hyperlink ref="E55" r:id="rId170" display="https://www.linkedin.com/learning/persuasive-selling" xr:uid="{00000000-0004-0000-0B00-0000A9000000}"/>
    <hyperlink ref="L55" r:id="rId171" display="https://www.linkedin.com/learning/setting-business-unit-goals/welcome" xr:uid="{00000000-0004-0000-0B00-0000AA000000}"/>
    <hyperlink ref="S55" r:id="rId172" display="https://www.linkedin.com/learning/enhancing-team-innovation" xr:uid="{00000000-0004-0000-0B00-0000AB000000}"/>
    <hyperlink ref="E56" r:id="rId173" display="https://www.linkedin.com/learning/sales-forecasting" xr:uid="{00000000-0004-0000-0B00-0000AC000000}"/>
    <hyperlink ref="L56" r:id="rId174" display="https://www.linkedin.com/learning/strategic-human-resources/what-you-should-know-before-watching-this-course" xr:uid="{00000000-0004-0000-0B00-0000AD000000}"/>
    <hyperlink ref="S56" r:id="rId175" display="https://www.linkedin.com/learning/developing-your-team-members/personalize-your-leadership-approach" xr:uid="{00000000-0004-0000-0B00-0000AE000000}"/>
    <hyperlink ref="E57" r:id="rId176" display="https://www.linkedin.com/learning/key-account-management" xr:uid="{00000000-0004-0000-0B00-0000AF000000}"/>
    <hyperlink ref="L57" r:id="rId177" display="https://www.linkedin.com/learning/strategic-planning-foundations" xr:uid="{00000000-0004-0000-0B00-0000B0000000}"/>
    <hyperlink ref="S57" r:id="rId178" display="https://www.linkedin.com/learning/managing-employee-performance-problems-3" xr:uid="{00000000-0004-0000-0B00-0000B1000000}"/>
    <hyperlink ref="E58" r:id="rId179" display="https://www.linkedin.com/learning/sales-channel-management" xr:uid="{00000000-0004-0000-0B00-0000B2000000}"/>
    <hyperlink ref="L58" r:id="rId180" display="https://www.linkedin.com/learning/sustainability-strategies/welcome" xr:uid="{00000000-0004-0000-0B00-0000B3000000}"/>
    <hyperlink ref="S58" r:id="rId181" display="https://www.linkedin.com/learning/persuasive-coaching" xr:uid="{00000000-0004-0000-0B00-0000B4000000}"/>
    <hyperlink ref="E59" r:id="rId182" display="https://www.linkedin.com/learning/sales-performance-measurement-and-reporting" xr:uid="{00000000-0004-0000-0B00-0000B5000000}"/>
    <hyperlink ref="L59" r:id="rId183" display="https://www.linkedin.com/learning/leading-from-the-middle" xr:uid="{00000000-0004-0000-0B00-0000B6000000}"/>
    <hyperlink ref="S59" r:id="rId184" display="https://www.linkedin.com/learning/building-a-coaching-culture-improving-performance-through-timely-feedback" xr:uid="{00000000-0004-0000-0B00-0000B7000000}"/>
    <hyperlink ref="E60" r:id="rId185" display="https://www.linkedin.com/learning/sales-develop-a-service-orientation" xr:uid="{00000000-0004-0000-0B00-0000B8000000}"/>
    <hyperlink ref="L60" r:id="rId186" display="https://www.linkedin.com/learning/strategic-planning-case-studies" xr:uid="{00000000-0004-0000-0B00-0000B9000000}"/>
    <hyperlink ref="S60" r:id="rId187" display="https://www.linkedin.com/learning/managing-multiple-generations-2020" xr:uid="{00000000-0004-0000-0B00-0000BA000000}"/>
    <hyperlink ref="E61" r:id="rId188" display="https://www.linkedin.com/learning/sales-customer-success" xr:uid="{00000000-0004-0000-0B00-0000BB000000}"/>
    <hyperlink ref="L61" r:id="rId189" display="https://www.linkedin.com/learning/communicating-an-enterprise-wide-transformation" xr:uid="{00000000-0004-0000-0B00-0000BC000000}"/>
    <hyperlink ref="S61" r:id="rId190" display="https://www.linkedin.com/learning/a-toolkit-for-giving-and-receiving-better-feedback" xr:uid="{00000000-0004-0000-0B00-0000BD000000}"/>
    <hyperlink ref="E62" r:id="rId191" display="https://www.linkedin.com/learning/sales-closing-a-complex-sale" xr:uid="{00000000-0004-0000-0B00-0000BE000000}"/>
    <hyperlink ref="L62" r:id="rId192" display="https://www.linkedin.com/learning/azure-for-architects-design-a-migration-strategy" xr:uid="{00000000-0004-0000-0B00-0000BF000000}"/>
    <hyperlink ref="S62" r:id="rId193" display="https://www.linkedin.com/learning/human-centered-leadership" xr:uid="{00000000-0004-0000-0B00-0000C0000000}"/>
    <hyperlink ref="E63" r:id="rId194" display="https://www.linkedin.com/learning/sales-pipeline-management" xr:uid="{00000000-0004-0000-0B00-0000C1000000}"/>
    <hyperlink ref="L63" r:id="rId195" display="https://www.linkedin.com/learning/ethical-hacking-cryptography" xr:uid="{00000000-0004-0000-0B00-0000C2000000}"/>
    <hyperlink ref="S63" r:id="rId196" display="https://www.linkedin.com/learning/the-coaching-habit-getabstract-summary" xr:uid="{00000000-0004-0000-0B00-0000C3000000}"/>
    <hyperlink ref="E64" r:id="rId197" display="https://www.linkedin.com/learning/sales-data-driven-sales-management" xr:uid="{00000000-0004-0000-0B00-0000C4000000}"/>
    <hyperlink ref="L64" r:id="rId198" display="https://www.linkedin.com/learning/azure-for-architects-design-a-business-continuity-strategy" xr:uid="{00000000-0004-0000-0B00-0000C5000000}"/>
    <hyperlink ref="E65" r:id="rId199" display="https://www.linkedin.com/learning/social-selling-benchmarks-and-scorecard" xr:uid="{00000000-0004-0000-0B00-0000C6000000}"/>
    <hyperlink ref="L65" r:id="rId200" display="https://www.linkedin.com/learning/cybersecurity-foundations-2020-revision" xr:uid="{00000000-0004-0000-0B00-0000C7000000}"/>
    <hyperlink ref="E66" r:id="rId201" display="https://www.linkedin.com/learning/cross-selling" xr:uid="{00000000-0004-0000-0B00-0000C8000000}"/>
    <hyperlink ref="L66" r:id="rId202" display="https://www.linkedin.com/learning/balancing-innovation-and-risk" xr:uid="{00000000-0004-0000-0B00-0000C9000000}"/>
    <hyperlink ref="E67" r:id="rId203" display="https://www.linkedin.com/learning/sales-handling-objections" xr:uid="{00000000-0004-0000-0B00-0000CA000000}"/>
    <hyperlink ref="E68" r:id="rId204" display="https://www.linkedin.com/learning/aligning-sales-and-marketing" xr:uid="{00000000-0004-0000-0B00-0000CB000000}"/>
    <hyperlink ref="E69" r:id="rId205" display="https://www.linkedin.com/learning/sales-enablement" xr:uid="{00000000-0004-0000-0B00-0000CC000000}"/>
    <hyperlink ref="E70" r:id="rId206" display="https://www.linkedin.com/learning/empathy-for-sales-professionals" xr:uid="{00000000-0004-0000-0B00-0000CD000000}"/>
    <hyperlink ref="E71" r:id="rId207" display="https://www.linkedin.com/learning/asking-great-sales-questions-5" xr:uid="{00000000-0004-0000-0B00-0000CE000000}"/>
    <hyperlink ref="E72" r:id="rId208" display="https://www.linkedin.com/learning/selling-with-empathy-during-uncertain-times" xr:uid="{00000000-0004-0000-0B00-0000CF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xr:uid="{00000000-0002-0000-0B00-000000000000}">
          <x14:formula1>
            <xm:f>'All Competencies'!$A$3:$A80</xm:f>
          </x14:formula1>
          <xm:sqref>A1:C1 G1:J1 N1:Q1 U1:V1</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3C78D8"/>
    <outlinePr summaryBelow="0" summaryRight="0"/>
  </sheetPr>
  <dimension ref="A1:V80"/>
  <sheetViews>
    <sheetView showGridLines="0" workbookViewId="0">
      <pane ySplit="4" topLeftCell="A5" activePane="bottomLeft" state="frozen"/>
      <selection pane="bottomLeft" activeCell="F18" sqref="F18"/>
    </sheetView>
  </sheetViews>
  <sheetFormatPr baseColWidth="10" defaultColWidth="14.5" defaultRowHeight="15.75" customHeight="1" outlineLevelRow="1" x14ac:dyDescent="0.15"/>
  <cols>
    <col min="1" max="2" width="0.6640625" customWidth="1"/>
    <col min="3" max="3" width="13.5" customWidth="1"/>
    <col min="4" max="4" width="18" customWidth="1"/>
    <col min="5" max="5" width="36.83203125" customWidth="1"/>
    <col min="6" max="6" width="37.5" customWidth="1"/>
    <col min="7" max="9" width="0.6640625" customWidth="1"/>
    <col min="10" max="10" width="13.5" customWidth="1"/>
    <col min="11" max="11" width="18" customWidth="1"/>
    <col min="12" max="12" width="36.83203125" customWidth="1"/>
    <col min="13" max="13" width="37.5" customWidth="1"/>
    <col min="14" max="16" width="0.6640625" customWidth="1"/>
    <col min="17" max="17" width="13.5" customWidth="1"/>
    <col min="18" max="18" width="18" customWidth="1"/>
    <col min="19" max="19" width="36.83203125" customWidth="1"/>
    <col min="20" max="20" width="37.5" customWidth="1"/>
    <col min="21" max="22" width="0.6640625" customWidth="1"/>
  </cols>
  <sheetData>
    <row r="1" spans="1:22" ht="27.75" customHeight="1" outlineLevel="1" x14ac:dyDescent="0.15">
      <c r="A1" s="127"/>
      <c r="B1" s="127"/>
      <c r="C1" s="188" t="s">
        <v>992</v>
      </c>
      <c r="D1" s="160"/>
      <c r="E1" s="160"/>
      <c r="F1" s="160"/>
      <c r="G1" s="127"/>
      <c r="H1" s="127"/>
      <c r="I1" s="127"/>
      <c r="J1" s="188" t="s">
        <v>1238</v>
      </c>
      <c r="K1" s="160"/>
      <c r="L1" s="160"/>
      <c r="M1" s="160"/>
      <c r="N1" s="127"/>
      <c r="O1" s="127"/>
      <c r="P1" s="127"/>
      <c r="Q1" s="188" t="s">
        <v>1271</v>
      </c>
      <c r="R1" s="160"/>
      <c r="S1" s="160"/>
      <c r="T1" s="160"/>
      <c r="U1" s="127"/>
      <c r="V1" s="127"/>
    </row>
    <row r="2" spans="1:22" ht="17" outlineLevel="1" x14ac:dyDescent="0.15">
      <c r="A2" s="128"/>
      <c r="B2" s="128"/>
      <c r="C2" s="186" t="s">
        <v>1407</v>
      </c>
      <c r="D2" s="160"/>
      <c r="E2" s="160"/>
      <c r="F2" s="160"/>
      <c r="G2" s="128"/>
      <c r="H2" s="128"/>
      <c r="I2" s="128"/>
      <c r="J2" s="186" t="s">
        <v>1407</v>
      </c>
      <c r="K2" s="160"/>
      <c r="L2" s="160"/>
      <c r="M2" s="160"/>
      <c r="N2" s="128"/>
      <c r="O2" s="128"/>
      <c r="P2" s="128"/>
      <c r="Q2" s="186" t="s">
        <v>1407</v>
      </c>
      <c r="R2" s="160"/>
      <c r="S2" s="160"/>
      <c r="T2" s="160"/>
      <c r="U2" s="128"/>
      <c r="V2" s="128"/>
    </row>
    <row r="3" spans="1:22" ht="50" customHeight="1" outlineLevel="1" x14ac:dyDescent="0.15">
      <c r="A3" s="129"/>
      <c r="B3" s="129"/>
      <c r="C3" s="187" t="str">
        <f ca="1">IFERROR(__xludf.DUMMYFUNCTION("IFERROR(UNIQUE(FILTER('Competency Learning Paths'!N:N,'Competency Learning Paths'!A:A= C1)))"),"Human Capital Management, Driving Engagement, Performance Management ")</f>
        <v xml:space="preserve">Human Capital Management, Driving Engagement, Performance Management </v>
      </c>
      <c r="D3" s="160"/>
      <c r="E3" s="160"/>
      <c r="F3" s="160"/>
      <c r="G3" s="129"/>
      <c r="H3" s="129"/>
      <c r="I3" s="129"/>
      <c r="J3" s="187" t="str">
        <f ca="1">IFERROR(__xludf.DUMMYFUNCTION("IFERROR(UNIQUE(FILTER('Competency Learning Paths'!N:N,'Competency Learning Paths'!A:A= J1)))"),"Managing Diversity, Leveraging Diversity, Values Differences, Equity, Empathy")</f>
        <v>Managing Diversity, Leveraging Diversity, Values Differences, Equity, Empathy</v>
      </c>
      <c r="K3" s="160"/>
      <c r="L3" s="160"/>
      <c r="M3" s="160"/>
      <c r="N3" s="129"/>
      <c r="O3" s="129"/>
      <c r="P3" s="129"/>
      <c r="Q3" s="187" t="str">
        <f ca="1">IFERROR(__xludf.DUMMYFUNCTION("IFERROR(UNIQUE(FILTER('Competency Learning Paths'!N:N,'Competency Learning Paths'!A:A= Q1)))"),"Writing, Written Communication, Written Expression, Writing Proficiency, Writing Skills, Technical Writing")</f>
        <v>Writing, Written Communication, Written Expression, Writing Proficiency, Writing Skills, Technical Writing</v>
      </c>
      <c r="R3" s="160"/>
      <c r="S3" s="160"/>
      <c r="T3" s="160"/>
      <c r="U3" s="129"/>
      <c r="V3" s="129"/>
    </row>
    <row r="4" spans="1:22" ht="16" outlineLevel="1" x14ac:dyDescent="0.15">
      <c r="A4" s="130"/>
      <c r="B4" s="131"/>
      <c r="C4" s="132" t="str">
        <f ca="1">IFERROR(__xludf.DUMMYFUNCTION("FILTER('All Competencies'!B:B,'All Competencies'!A:A=C1)"),"Course IDs")</f>
        <v>Course IDs</v>
      </c>
      <c r="D4" s="132" t="str">
        <f ca="1">IFERROR(__xludf.DUMMYFUNCTION("FILTER('All Competencies'!C:C,'All Competencies'!A:A=C1)"),"Level")</f>
        <v>Level</v>
      </c>
      <c r="E4" s="132" t="str">
        <f ca="1">IFERROR(__xludf.DUMMYFUNCTION("FILTER('All Competencies'!D:D,'All Competencies'!A:A=C1)"),"Courses")</f>
        <v>Courses</v>
      </c>
      <c r="F4" s="132" t="str">
        <f ca="1">IFERROR(__xludf.DUMMYFUNCTION("FILTER('All Competencies'!E:E,'All Competencies'!A:A=C1)"),"Learning Paths")</f>
        <v>Learning Paths</v>
      </c>
      <c r="G4" s="133"/>
      <c r="H4" s="131"/>
      <c r="I4" s="130"/>
      <c r="J4" s="132" t="str">
        <f ca="1">IFERROR(__xludf.DUMMYFUNCTION("FILTER('All Competencies'!B:B,'All Competencies'!A:A=J1)"),"Course IDs")</f>
        <v>Course IDs</v>
      </c>
      <c r="K4" s="132" t="str">
        <f ca="1">IFERROR(__xludf.DUMMYFUNCTION("FILTER('All Competencies'!C:C,'All Competencies'!A:A=J1)"),"Level")</f>
        <v>Level</v>
      </c>
      <c r="L4" s="132" t="str">
        <f ca="1">IFERROR(__xludf.DUMMYFUNCTION("FILTER('All Competencies'!D:D,'All Competencies'!A:A=J1)"),"Courses")</f>
        <v>Courses</v>
      </c>
      <c r="M4" s="132" t="str">
        <f ca="1">IFERROR(__xludf.DUMMYFUNCTION("FILTER('All Competencies'!E:E,'All Competencies'!A:A=J1)"),"Learning Paths")</f>
        <v>Learning Paths</v>
      </c>
      <c r="N4" s="133"/>
      <c r="O4" s="131"/>
      <c r="P4" s="130"/>
      <c r="Q4" s="132" t="str">
        <f ca="1">IFERROR(__xludf.DUMMYFUNCTION("FILTER('All Competencies'!B:B,'All Competencies'!A:A=Q1)"),"Course IDs")</f>
        <v>Course IDs</v>
      </c>
      <c r="R4" s="132" t="str">
        <f ca="1">IFERROR(__xludf.DUMMYFUNCTION("FILTER('All Competencies'!C:C,'All Competencies'!A:A=Q1)"),"Level")</f>
        <v>Level</v>
      </c>
      <c r="S4" s="132" t="str">
        <f ca="1">IFERROR(__xludf.DUMMYFUNCTION("FILTER('All Competencies'!D:D,'All Competencies'!A:A=Q1)"),"Courses")</f>
        <v>Courses</v>
      </c>
      <c r="T4" s="132" t="str">
        <f ca="1">IFERROR(__xludf.DUMMYFUNCTION("FILTER('All Competencies'!E:E,'All Competencies'!A:A=Q1)"),"Learning Paths")</f>
        <v>Learning Paths</v>
      </c>
      <c r="U4" s="133"/>
      <c r="V4" s="130"/>
    </row>
    <row r="5" spans="1:22" ht="33.75" customHeight="1" x14ac:dyDescent="0.15">
      <c r="A5" s="134"/>
      <c r="B5" s="134"/>
      <c r="C5" s="135">
        <f ca="1">IFERROR(__xludf.DUMMYFUNCTION("""COMPUTED_VALUE"""),574670)</f>
        <v>574670</v>
      </c>
      <c r="D5" s="135" t="str">
        <f ca="1">IFERROR(__xludf.DUMMYFUNCTION("""COMPUTED_VALUE"""),"Advanced")</f>
        <v>Advanced</v>
      </c>
      <c r="E5" s="136" t="str">
        <f ca="1">IFERROR(__xludf.DUMMYFUNCTION("""COMPUTED_VALUE"""),"Creating a High Performance Culture")</f>
        <v>Creating a High Performance Culture</v>
      </c>
      <c r="F5" s="137" t="str">
        <f ca="1">IFERROR(__xludf.DUMMYFUNCTION("""COMPUTED_VALUE"""),"Recruit and Maximize Talent")</f>
        <v>Recruit and Maximize Talent</v>
      </c>
      <c r="G5" s="134"/>
      <c r="H5" s="134"/>
      <c r="I5" s="134"/>
      <c r="J5" s="135">
        <f ca="1">IFERROR(__xludf.DUMMYFUNCTION("""COMPUTED_VALUE"""),373562)</f>
        <v>373562</v>
      </c>
      <c r="K5" s="135" t="str">
        <f ca="1">IFERROR(__xludf.DUMMYFUNCTION("""COMPUTED_VALUE"""),"Advanced")</f>
        <v>Advanced</v>
      </c>
      <c r="L5" s="136" t="str">
        <f ca="1">IFERROR(__xludf.DUMMYFUNCTION("""COMPUTED_VALUE"""),"Global Strategy")</f>
        <v>Global Strategy</v>
      </c>
      <c r="M5" s="137" t="str">
        <f ca="1">IFERROR(__xludf.DUMMYFUNCTION("""COMPUTED_VALUE"""),"Become an Inclusive Leader")</f>
        <v>Become an Inclusive Leader</v>
      </c>
      <c r="N5" s="134"/>
      <c r="O5" s="134"/>
      <c r="P5" s="134"/>
      <c r="Q5" s="135">
        <f ca="1">IFERROR(__xludf.DUMMYFUNCTION("""COMPUTED_VALUE"""),373556)</f>
        <v>373556</v>
      </c>
      <c r="R5" s="135" t="str">
        <f ca="1">IFERROR(__xludf.DUMMYFUNCTION("""COMPUTED_VALUE"""),"Advanced")</f>
        <v>Advanced</v>
      </c>
      <c r="S5" s="136" t="str">
        <f ca="1">IFERROR(__xludf.DUMMYFUNCTION("""COMPUTED_VALUE"""),"Advanced Grammar")</f>
        <v>Advanced Grammar</v>
      </c>
      <c r="T5" s="137" t="str">
        <f ca="1">IFERROR(__xludf.DUMMYFUNCTION("""COMPUTED_VALUE"""),"Develop Your Writing Skills ")</f>
        <v xml:space="preserve">Develop Your Writing Skills </v>
      </c>
      <c r="U5" s="134"/>
      <c r="V5" s="134"/>
    </row>
    <row r="6" spans="1:22" ht="33.75" customHeight="1" x14ac:dyDescent="0.15">
      <c r="A6" s="134"/>
      <c r="B6" s="134"/>
      <c r="C6" s="138">
        <f ca="1">IFERROR(__xludf.DUMMYFUNCTION("""COMPUTED_VALUE"""),624208)</f>
        <v>624208</v>
      </c>
      <c r="D6" s="138" t="str">
        <f ca="1">IFERROR(__xludf.DUMMYFUNCTION("""COMPUTED_VALUE"""),"Advanced")</f>
        <v>Advanced</v>
      </c>
      <c r="E6" s="139" t="str">
        <f ca="1">IFERROR(__xludf.DUMMYFUNCTION("""COMPUTED_VALUE"""),"Creating a Positive and Healthy Work Environment")</f>
        <v>Creating a Positive and Healthy Work Environment</v>
      </c>
      <c r="F6" s="140" t="str">
        <f ca="1">IFERROR(__xludf.DUMMYFUNCTION("""COMPUTED_VALUE"""),"Advance Your Skills as a Manager")</f>
        <v>Advance Your Skills as a Manager</v>
      </c>
      <c r="G6" s="134"/>
      <c r="H6" s="134"/>
      <c r="I6" s="134"/>
      <c r="J6" s="138">
        <f ca="1">IFERROR(__xludf.DUMMYFUNCTION("""COMPUTED_VALUE"""),645013)</f>
        <v>645013</v>
      </c>
      <c r="K6" s="138" t="str">
        <f ca="1">IFERROR(__xludf.DUMMYFUNCTION("""COMPUTED_VALUE"""),"Advanced")</f>
        <v>Advanced</v>
      </c>
      <c r="L6" s="139" t="str">
        <f ca="1">IFERROR(__xludf.DUMMYFUNCTION("""COMPUTED_VALUE"""),"Inclusive Leadership")</f>
        <v>Inclusive Leadership</v>
      </c>
      <c r="M6" s="140" t="str">
        <f ca="1">IFERROR(__xludf.DUMMYFUNCTION("""COMPUTED_VALUE"""),"Diversity, Inclusion and Belonging for Leaders and Managers")</f>
        <v>Diversity, Inclusion and Belonging for Leaders and Managers</v>
      </c>
      <c r="N6" s="134"/>
      <c r="O6" s="134"/>
      <c r="P6" s="134"/>
      <c r="Q6" s="138">
        <f ca="1">IFERROR(__xludf.DUMMYFUNCTION("""COMPUTED_VALUE"""),721925)</f>
        <v>721925</v>
      </c>
      <c r="R6" s="138" t="str">
        <f ca="1">IFERROR(__xludf.DUMMYFUNCTION("""COMPUTED_VALUE"""),"Advanced")</f>
        <v>Advanced</v>
      </c>
      <c r="S6" s="139" t="str">
        <f ca="1">IFERROR(__xludf.DUMMYFUNCTION("""COMPUTED_VALUE"""),"Editing Mastery: How to Edit Writing to Perfection")</f>
        <v>Editing Mastery: How to Edit Writing to Perfection</v>
      </c>
      <c r="T6" s="140" t="str">
        <f ca="1">IFERROR(__xludf.DUMMYFUNCTION("""COMPUTED_VALUE"""),"Become a Content Strategist")</f>
        <v>Become a Content Strategist</v>
      </c>
      <c r="U6" s="134"/>
      <c r="V6" s="134"/>
    </row>
    <row r="7" spans="1:22" ht="33.75" customHeight="1" x14ac:dyDescent="0.15">
      <c r="A7" s="134"/>
      <c r="B7" s="134"/>
      <c r="C7" s="138">
        <f ca="1">IFERROR(__xludf.DUMMYFUNCTION("""COMPUTED_VALUE"""),2812491)</f>
        <v>2812491</v>
      </c>
      <c r="D7" s="138" t="str">
        <f ca="1">IFERROR(__xludf.DUMMYFUNCTION("""COMPUTED_VALUE"""),"Advanced")</f>
        <v>Advanced</v>
      </c>
      <c r="E7" s="139" t="str">
        <f ca="1">IFERROR(__xludf.DUMMYFUNCTION("""COMPUTED_VALUE"""),"Ideation for Leaders")</f>
        <v>Ideation for Leaders</v>
      </c>
      <c r="F7" s="140" t="str">
        <f ca="1">IFERROR(__xludf.DUMMYFUNCTION("""COMPUTED_VALUE"""),"Improve Your Coaching Skills as a Manager")</f>
        <v>Improve Your Coaching Skills as a Manager</v>
      </c>
      <c r="G7" s="134"/>
      <c r="H7" s="134"/>
      <c r="I7" s="134"/>
      <c r="J7" s="138">
        <f ca="1">IFERROR(__xludf.DUMMYFUNCTION("""COMPUTED_VALUE"""),706917)</f>
        <v>706917</v>
      </c>
      <c r="K7" s="138" t="str">
        <f ca="1">IFERROR(__xludf.DUMMYFUNCTION("""COMPUTED_VALUE"""),"Advanced")</f>
        <v>Advanced</v>
      </c>
      <c r="L7" s="139" t="str">
        <f ca="1">IFERROR(__xludf.DUMMYFUNCTION("""COMPUTED_VALUE"""),"Leading Globally")</f>
        <v>Leading Globally</v>
      </c>
      <c r="M7" s="140" t="str">
        <f ca="1">IFERROR(__xludf.DUMMYFUNCTION("""COMPUTED_VALUE"""),"Diversity, Inclusion and Belonging for All")</f>
        <v>Diversity, Inclusion and Belonging for All</v>
      </c>
      <c r="N7" s="134"/>
      <c r="O7" s="134"/>
      <c r="P7" s="134"/>
      <c r="Q7" s="138">
        <f ca="1">IFERROR(__xludf.DUMMYFUNCTION("""COMPUTED_VALUE"""),158318)</f>
        <v>158318</v>
      </c>
      <c r="R7" s="138" t="str">
        <f ca="1">IFERROR(__xludf.DUMMYFUNCTION("""COMPUTED_VALUE"""),"Beginner")</f>
        <v>Beginner</v>
      </c>
      <c r="S7" s="139" t="str">
        <f ca="1">IFERROR(__xludf.DUMMYFUNCTION("""COMPUTED_VALUE"""),"Grammar Foundations")</f>
        <v>Grammar Foundations</v>
      </c>
      <c r="T7" s="141"/>
      <c r="U7" s="134"/>
      <c r="V7" s="134"/>
    </row>
    <row r="8" spans="1:22" ht="30" x14ac:dyDescent="0.15">
      <c r="A8" s="134"/>
      <c r="B8" s="134"/>
      <c r="C8" s="138">
        <f ca="1">IFERROR(__xludf.DUMMYFUNCTION("""COMPUTED_VALUE"""),2823247)</f>
        <v>2823247</v>
      </c>
      <c r="D8" s="138" t="str">
        <f ca="1">IFERROR(__xludf.DUMMYFUNCTION("""COMPUTED_VALUE"""),"Advanced")</f>
        <v>Advanced</v>
      </c>
      <c r="E8" s="139" t="str">
        <f ca="1">IFERROR(__xludf.DUMMYFUNCTION("""COMPUTED_VALUE"""),"Foundations of Performance Management")</f>
        <v>Foundations of Performance Management</v>
      </c>
      <c r="F8" s="140" t="str">
        <f ca="1">IFERROR(__xludf.DUMMYFUNCTION("""COMPUTED_VALUE"""),"Managing Performance")</f>
        <v>Managing Performance</v>
      </c>
      <c r="G8" s="134"/>
      <c r="H8" s="134"/>
      <c r="I8" s="134"/>
      <c r="J8" s="138">
        <f ca="1">IFERROR(__xludf.DUMMYFUNCTION("""COMPUTED_VALUE"""),5022325)</f>
        <v>5022325</v>
      </c>
      <c r="K8" s="138" t="str">
        <f ca="1">IFERROR(__xludf.DUMMYFUNCTION("""COMPUTED_VALUE"""),"Advanced")</f>
        <v>Advanced</v>
      </c>
      <c r="L8" s="139" t="str">
        <f ca="1">IFERROR(__xludf.DUMMYFUNCTION("""COMPUTED_VALUE"""),"Leveraging Neuroscience in the Workplace")</f>
        <v>Leveraging Neuroscience in the Workplace</v>
      </c>
      <c r="M8" s="140" t="str">
        <f ca="1">IFERROR(__xludf.DUMMYFUNCTION("""COMPUTED_VALUE"""),"Women Transforming Tech: Navigating Your Career")</f>
        <v>Women Transforming Tech: Navigating Your Career</v>
      </c>
      <c r="N8" s="134"/>
      <c r="O8" s="134"/>
      <c r="P8" s="134"/>
      <c r="Q8" s="138">
        <f ca="1">IFERROR(__xludf.DUMMYFUNCTION("""COMPUTED_VALUE"""),180104)</f>
        <v>180104</v>
      </c>
      <c r="R8" s="138" t="str">
        <f ca="1">IFERROR(__xludf.DUMMYFUNCTION("""COMPUTED_VALUE"""),"Beginner")</f>
        <v>Beginner</v>
      </c>
      <c r="S8" s="139" t="str">
        <f ca="1">IFERROR(__xludf.DUMMYFUNCTION("""COMPUTED_VALUE"""),"Learning to Write for the Web")</f>
        <v>Learning to Write for the Web</v>
      </c>
      <c r="T8" s="141"/>
      <c r="U8" s="134"/>
      <c r="V8" s="134"/>
    </row>
    <row r="9" spans="1:22" ht="33.75" customHeight="1" x14ac:dyDescent="0.15">
      <c r="A9" s="134"/>
      <c r="B9" s="134"/>
      <c r="C9" s="138">
        <f ca="1">IFERROR(__xludf.DUMMYFUNCTION("""COMPUTED_VALUE"""),647657)</f>
        <v>647657</v>
      </c>
      <c r="D9" s="138" t="str">
        <f ca="1">IFERROR(__xludf.DUMMYFUNCTION("""COMPUTED_VALUE"""),"Beginner")</f>
        <v>Beginner</v>
      </c>
      <c r="E9" s="139" t="str">
        <f ca="1">IFERROR(__xludf.DUMMYFUNCTION("""COMPUTED_VALUE"""),"Boosting Your Team's Productivity")</f>
        <v>Boosting Your Team's Productivity</v>
      </c>
      <c r="F9" s="140" t="str">
        <f ca="1">IFERROR(__xludf.DUMMYFUNCTION("""COMPUTED_VALUE"""),"Finding and Retaining Talent")</f>
        <v>Finding and Retaining Talent</v>
      </c>
      <c r="G9" s="134"/>
      <c r="H9" s="134"/>
      <c r="I9" s="134"/>
      <c r="J9" s="138">
        <f ca="1">IFERROR(__xludf.DUMMYFUNCTION("""COMPUTED_VALUE"""),2837225)</f>
        <v>2837225</v>
      </c>
      <c r="K9" s="138" t="str">
        <f ca="1">IFERROR(__xludf.DUMMYFUNCTION("""COMPUTED_VALUE"""),"Beginner")</f>
        <v>Beginner</v>
      </c>
      <c r="L9" s="139" t="str">
        <f ca="1">IFERROR(__xludf.DUMMYFUNCTION("""COMPUTED_VALUE"""),"Out and Proud: Approaching LGBT Issues in the Workplace")</f>
        <v>Out and Proud: Approaching LGBT Issues in the Workplace</v>
      </c>
      <c r="M9" s="140" t="str">
        <f ca="1">IFERROR(__xludf.DUMMYFUNCTION("""COMPUTED_VALUE"""),"Become a Thought Leader")</f>
        <v>Become a Thought Leader</v>
      </c>
      <c r="N9" s="134"/>
      <c r="O9" s="134"/>
      <c r="P9" s="134"/>
      <c r="Q9" s="138">
        <f ca="1">IFERROR(__xludf.DUMMYFUNCTION("""COMPUTED_VALUE"""),373782)</f>
        <v>373782</v>
      </c>
      <c r="R9" s="138" t="str">
        <f ca="1">IFERROR(__xludf.DUMMYFUNCTION("""COMPUTED_VALUE"""),"Beginner")</f>
        <v>Beginner</v>
      </c>
      <c r="S9" s="139" t="str">
        <f ca="1">IFERROR(__xludf.DUMMYFUNCTION("""COMPUTED_VALUE"""),"Note-Taking for Business Professionals")</f>
        <v>Note-Taking for Business Professionals</v>
      </c>
      <c r="T9" s="141"/>
      <c r="U9" s="134"/>
      <c r="V9" s="134"/>
    </row>
    <row r="10" spans="1:22" ht="33.75" customHeight="1" x14ac:dyDescent="0.15">
      <c r="A10" s="134"/>
      <c r="B10" s="134"/>
      <c r="C10" s="138">
        <f ca="1">IFERROR(__xludf.DUMMYFUNCTION("""COMPUTED_VALUE"""),693069)</f>
        <v>693069</v>
      </c>
      <c r="D10" s="138" t="str">
        <f ca="1">IFERROR(__xludf.DUMMYFUNCTION("""COMPUTED_VALUE"""),"Beginner")</f>
        <v>Beginner</v>
      </c>
      <c r="E10" s="139" t="str">
        <f ca="1">IFERROR(__xludf.DUMMYFUNCTION("""COMPUTED_VALUE"""),"Delegating Tasks")</f>
        <v>Delegating Tasks</v>
      </c>
      <c r="F10" s="150" t="str">
        <f ca="1">IFERROR(__xludf.DUMMYFUNCTION("""COMPUTED_VALUE"""),"Become an Inclusive Leader")</f>
        <v>Become an Inclusive Leader</v>
      </c>
      <c r="G10" s="134"/>
      <c r="H10" s="134"/>
      <c r="I10" s="134"/>
      <c r="J10" s="138">
        <f ca="1">IFERROR(__xludf.DUMMYFUNCTION("""COMPUTED_VALUE"""),2996651)</f>
        <v>2996651</v>
      </c>
      <c r="K10" s="138" t="str">
        <f ca="1">IFERROR(__xludf.DUMMYFUNCTION("""COMPUTED_VALUE"""),"Beginner")</f>
        <v>Beginner</v>
      </c>
      <c r="L10" s="139" t="str">
        <f ca="1">IFERROR(__xludf.DUMMYFUNCTION("""COMPUTED_VALUE"""),"Confronting Racism, with Robin DiAngelo")</f>
        <v>Confronting Racism, with Robin DiAngelo</v>
      </c>
      <c r="M10" s="150" t="str">
        <f ca="1">IFERROR(__xludf.DUMMYFUNCTION("""COMPUTED_VALUE"""),"Transition from Military to Civilian Employment")</f>
        <v>Transition from Military to Civilian Employment</v>
      </c>
      <c r="N10" s="134"/>
      <c r="O10" s="134"/>
      <c r="P10" s="134"/>
      <c r="Q10" s="138">
        <f ca="1">IFERROR(__xludf.DUMMYFUNCTION("""COMPUTED_VALUE"""),373553)</f>
        <v>373553</v>
      </c>
      <c r="R10" s="138" t="str">
        <f ca="1">IFERROR(__xludf.DUMMYFUNCTION("""COMPUTED_VALUE"""),"Beginner")</f>
        <v>Beginner</v>
      </c>
      <c r="S10" s="139" t="str">
        <f ca="1">IFERROR(__xludf.DUMMYFUNCTION("""COMPUTED_VALUE"""),"Technical Writing: Reports")</f>
        <v>Technical Writing: Reports</v>
      </c>
      <c r="T10" s="142"/>
      <c r="U10" s="134"/>
      <c r="V10" s="134"/>
    </row>
    <row r="11" spans="1:22" ht="33.75" customHeight="1" x14ac:dyDescent="0.15">
      <c r="A11" s="134"/>
      <c r="B11" s="134"/>
      <c r="C11" s="138">
        <f ca="1">IFERROR(__xludf.DUMMYFUNCTION("""COMPUTED_VALUE"""),604212)</f>
        <v>604212</v>
      </c>
      <c r="D11" s="138" t="str">
        <f ca="1">IFERROR(__xludf.DUMMYFUNCTION("""COMPUTED_VALUE"""),"Beginner")</f>
        <v>Beginner</v>
      </c>
      <c r="E11" s="139" t="str">
        <f ca="1">IFERROR(__xludf.DUMMYFUNCTION("""COMPUTED_VALUE"""),"Managing Experts")</f>
        <v>Managing Experts</v>
      </c>
      <c r="F11" s="140" t="str">
        <f ca="1">IFERROR(__xludf.DUMMYFUNCTION("""COMPUTED_VALUE"""),"Become an HR Business Partner")</f>
        <v>Become an HR Business Partner</v>
      </c>
      <c r="G11" s="134"/>
      <c r="H11" s="134"/>
      <c r="I11" s="134"/>
      <c r="J11" s="138">
        <f ca="1">IFERROR(__xludf.DUMMYFUNCTION("""COMPUTED_VALUE"""),791356)</f>
        <v>791356</v>
      </c>
      <c r="K11" s="138" t="str">
        <f ca="1">IFERROR(__xludf.DUMMYFUNCTION("""COMPUTED_VALUE"""),"Beginner")</f>
        <v>Beginner</v>
      </c>
      <c r="L11" s="139" t="str">
        <f ca="1">IFERROR(__xludf.DUMMYFUNCTION("""COMPUTED_VALUE"""),"Inclusive Instructional Design")</f>
        <v>Inclusive Instructional Design</v>
      </c>
      <c r="M11" s="140" t="str">
        <f ca="1">IFERROR(__xludf.DUMMYFUNCTION("""COMPUTED_VALUE"""),"Transition from Military to Student Life")</f>
        <v>Transition from Military to Student Life</v>
      </c>
      <c r="N11" s="134"/>
      <c r="O11" s="134"/>
      <c r="P11" s="134"/>
      <c r="Q11" s="138">
        <f ca="1">IFERROR(__xludf.DUMMYFUNCTION("""COMPUTED_VALUE"""),158319)</f>
        <v>158319</v>
      </c>
      <c r="R11" s="138" t="str">
        <f ca="1">IFERROR(__xludf.DUMMYFUNCTION("""COMPUTED_VALUE"""),"Beginner")</f>
        <v>Beginner</v>
      </c>
      <c r="S11" s="139" t="str">
        <f ca="1">IFERROR(__xludf.DUMMYFUNCTION("""COMPUTED_VALUE"""),"Writing a Research Paper")</f>
        <v>Writing a Research Paper</v>
      </c>
      <c r="T11" s="141"/>
      <c r="U11" s="134"/>
      <c r="V11" s="134"/>
    </row>
    <row r="12" spans="1:22" ht="33.75" customHeight="1" x14ac:dyDescent="0.15">
      <c r="A12" s="134"/>
      <c r="B12" s="134"/>
      <c r="C12" s="138">
        <f ca="1">IFERROR(__xludf.DUMMYFUNCTION("""COMPUTED_VALUE"""),604211)</f>
        <v>604211</v>
      </c>
      <c r="D12" s="138" t="str">
        <f ca="1">IFERROR(__xludf.DUMMYFUNCTION("""COMPUTED_VALUE"""),"Beginner")</f>
        <v>Beginner</v>
      </c>
      <c r="E12" s="139" t="str">
        <f ca="1">IFERROR(__xludf.DUMMYFUNCTION("""COMPUTED_VALUE"""),"Managing High Performers")</f>
        <v>Managing High Performers</v>
      </c>
      <c r="F12" s="140" t="str">
        <f ca="1">IFERROR(__xludf.DUMMYFUNCTION("""COMPUTED_VALUE"""),"Become a Senior Manager")</f>
        <v>Become a Senior Manager</v>
      </c>
      <c r="G12" s="134"/>
      <c r="H12" s="134"/>
      <c r="I12" s="134"/>
      <c r="J12" s="138">
        <f ca="1">IFERROR(__xludf.DUMMYFUNCTION("""COMPUTED_VALUE"""),746261)</f>
        <v>746261</v>
      </c>
      <c r="K12" s="138" t="str">
        <f ca="1">IFERROR(__xludf.DUMMYFUNCTION("""COMPUTED_VALUE"""),"Beginner")</f>
        <v>Beginner</v>
      </c>
      <c r="L12" s="139" t="str">
        <f ca="1">IFERROR(__xludf.DUMMYFUNCTION("""COMPUTED_VALUE"""),"Communicating Across Cultures")</f>
        <v>Communicating Across Cultures</v>
      </c>
      <c r="M12" s="140" t="str">
        <f ca="1">IFERROR(__xludf.DUMMYFUNCTION("""COMPUTED_VALUE"""),"Women in Leadership")</f>
        <v>Women in Leadership</v>
      </c>
      <c r="N12" s="134"/>
      <c r="O12" s="134"/>
      <c r="P12" s="134"/>
      <c r="Q12" s="138">
        <f ca="1">IFERROR(__xludf.DUMMYFUNCTION("""COMPUTED_VALUE"""),699320)</f>
        <v>699320</v>
      </c>
      <c r="R12" s="138" t="str">
        <f ca="1">IFERROR(__xludf.DUMMYFUNCTION("""COMPUTED_VALUE"""),"Beginner")</f>
        <v>Beginner</v>
      </c>
      <c r="S12" s="139" t="str">
        <f ca="1">IFERROR(__xludf.DUMMYFUNCTION("""COMPUTED_VALUE"""),"Writing Case Studies")</f>
        <v>Writing Case Studies</v>
      </c>
      <c r="T12" s="141"/>
      <c r="U12" s="134"/>
      <c r="V12" s="134"/>
    </row>
    <row r="13" spans="1:22" ht="33.75" customHeight="1" x14ac:dyDescent="0.15">
      <c r="A13" s="134"/>
      <c r="B13" s="134"/>
      <c r="C13" s="138">
        <f ca="1">IFERROR(__xludf.DUMMYFUNCTION("""COMPUTED_VALUE"""),604213)</f>
        <v>604213</v>
      </c>
      <c r="D13" s="138" t="str">
        <f ca="1">IFERROR(__xludf.DUMMYFUNCTION("""COMPUTED_VALUE"""),"Beginner")</f>
        <v>Beginner</v>
      </c>
      <c r="E13" s="139" t="str">
        <f ca="1">IFERROR(__xludf.DUMMYFUNCTION("""COMPUTED_VALUE"""),"Managing High Potentials")</f>
        <v>Managing High Potentials</v>
      </c>
      <c r="F13" s="142"/>
      <c r="G13" s="134"/>
      <c r="H13" s="134"/>
      <c r="I13" s="134"/>
      <c r="J13" s="138">
        <f ca="1">IFERROR(__xludf.DUMMYFUNCTION("""COMPUTED_VALUE"""),704110)</f>
        <v>704110</v>
      </c>
      <c r="K13" s="138" t="str">
        <f ca="1">IFERROR(__xludf.DUMMYFUNCTION("""COMPUTED_VALUE"""),"Beginner")</f>
        <v>Beginner</v>
      </c>
      <c r="L13" s="139" t="str">
        <f ca="1">IFERROR(__xludf.DUMMYFUNCTION("""COMPUTED_VALUE"""),"Confronting Bias: Thriving Across Our Differences")</f>
        <v>Confronting Bias: Thriving Across Our Differences</v>
      </c>
      <c r="M13" s="150" t="str">
        <f ca="1">IFERROR(__xludf.DUMMYFUNCTION("""COMPUTED_VALUE"""),"Stay Ahead in All Things DIBs")</f>
        <v>Stay Ahead in All Things DIBs</v>
      </c>
      <c r="N13" s="134"/>
      <c r="O13" s="134"/>
      <c r="P13" s="134"/>
      <c r="Q13" s="138">
        <f ca="1">IFERROR(__xludf.DUMMYFUNCTION("""COMPUTED_VALUE"""),699319)</f>
        <v>699319</v>
      </c>
      <c r="R13" s="138" t="str">
        <f ca="1">IFERROR(__xludf.DUMMYFUNCTION("""COMPUTED_VALUE"""),"Beginner")</f>
        <v>Beginner</v>
      </c>
      <c r="S13" s="139" t="str">
        <f ca="1">IFERROR(__xludf.DUMMYFUNCTION("""COMPUTED_VALUE"""),"Writing White Papers")</f>
        <v>Writing White Papers</v>
      </c>
      <c r="T13" s="142"/>
      <c r="U13" s="134"/>
      <c r="V13" s="134"/>
    </row>
    <row r="14" spans="1:22" ht="33.75" customHeight="1" x14ac:dyDescent="0.15">
      <c r="A14" s="134"/>
      <c r="B14" s="134"/>
      <c r="C14" s="138">
        <f ca="1">IFERROR(__xludf.DUMMYFUNCTION("""COMPUTED_VALUE"""),5015864)</f>
        <v>5015864</v>
      </c>
      <c r="D14" s="138" t="str">
        <f ca="1">IFERROR(__xludf.DUMMYFUNCTION("""COMPUTED_VALUE"""),"Beginner")</f>
        <v>Beginner</v>
      </c>
      <c r="E14" s="139" t="str">
        <f ca="1">IFERROR(__xludf.DUMMYFUNCTION("""COMPUTED_VALUE"""),"Performance Management: Conducting Performance Reviews")</f>
        <v>Performance Management: Conducting Performance Reviews</v>
      </c>
      <c r="F14" s="141"/>
      <c r="G14" s="134"/>
      <c r="H14" s="134"/>
      <c r="I14" s="134"/>
      <c r="J14" s="138">
        <f ca="1">IFERROR(__xludf.DUMMYFUNCTION("""COMPUTED_VALUE"""),642484)</f>
        <v>642484</v>
      </c>
      <c r="K14" s="138" t="str">
        <f ca="1">IFERROR(__xludf.DUMMYFUNCTION("""COMPUTED_VALUE"""),"Beginner")</f>
        <v>Beginner</v>
      </c>
      <c r="L14" s="139" t="str">
        <f ca="1">IFERROR(__xludf.DUMMYFUNCTION("""COMPUTED_VALUE"""),"Creating Change: Diversity and Inclusion in the Tech Industry")</f>
        <v>Creating Change: Diversity and Inclusion in the Tech Industry</v>
      </c>
      <c r="M14" s="140" t="str">
        <f ca="1">IFERROR(__xludf.DUMMYFUNCTION("""COMPUTED_VALUE"""),"Improve Your Coaching Skills as a Manager")</f>
        <v>Improve Your Coaching Skills as a Manager</v>
      </c>
      <c r="N14" s="134"/>
      <c r="O14" s="134"/>
      <c r="P14" s="134"/>
      <c r="Q14" s="138">
        <f ca="1">IFERROR(__xludf.DUMMYFUNCTION("""COMPUTED_VALUE"""),2816035)</f>
        <v>2816035</v>
      </c>
      <c r="R14" s="138" t="str">
        <f ca="1">IFERROR(__xludf.DUMMYFUNCTION("""COMPUTED_VALUE"""),"Beginner")</f>
        <v>Beginner</v>
      </c>
      <c r="S14" s="139" t="str">
        <f ca="1">IFERROR(__xludf.DUMMYFUNCTION("""COMPUTED_VALUE"""),"Writing Your Company Overview")</f>
        <v>Writing Your Company Overview</v>
      </c>
      <c r="T14" s="141"/>
      <c r="U14" s="134"/>
      <c r="V14" s="134"/>
    </row>
    <row r="15" spans="1:22" ht="33.75" customHeight="1" x14ac:dyDescent="0.15">
      <c r="A15" s="134"/>
      <c r="B15" s="134"/>
      <c r="C15" s="138">
        <f ca="1">IFERROR(__xludf.DUMMYFUNCTION("""COMPUTED_VALUE"""),5015865)</f>
        <v>5015865</v>
      </c>
      <c r="D15" s="138" t="str">
        <f ca="1">IFERROR(__xludf.DUMMYFUNCTION("""COMPUTED_VALUE"""),"Beginner")</f>
        <v>Beginner</v>
      </c>
      <c r="E15" s="139" t="str">
        <f ca="1">IFERROR(__xludf.DUMMYFUNCTION("""COMPUTED_VALUE"""),"Performance Management: Setting Goals and Managing Performance")</f>
        <v>Performance Management: Setting Goals and Managing Performance</v>
      </c>
      <c r="F15" s="141"/>
      <c r="G15" s="134"/>
      <c r="H15" s="134"/>
      <c r="I15" s="134"/>
      <c r="J15" s="138">
        <f ca="1">IFERROR(__xludf.DUMMYFUNCTION("""COMPUTED_VALUE"""),373788)</f>
        <v>373788</v>
      </c>
      <c r="K15" s="138" t="str">
        <f ca="1">IFERROR(__xludf.DUMMYFUNCTION("""COMPUTED_VALUE"""),"Beginner")</f>
        <v>Beginner</v>
      </c>
      <c r="L15" s="139" t="str">
        <f ca="1">IFERROR(__xludf.DUMMYFUNCTION("""COMPUTED_VALUE"""),"Developing Cross-Cultural Intelligence")</f>
        <v>Developing Cross-Cultural Intelligence</v>
      </c>
      <c r="M15" s="141"/>
      <c r="N15" s="134"/>
      <c r="O15" s="134"/>
      <c r="P15" s="134"/>
      <c r="Q15" s="138">
        <f ca="1">IFERROR(__xludf.DUMMYFUNCTION("""COMPUTED_VALUE"""),2811710)</f>
        <v>2811710</v>
      </c>
      <c r="R15" s="138" t="str">
        <f ca="1">IFERROR(__xludf.DUMMYFUNCTION("""COMPUTED_VALUE"""),"Beginner")</f>
        <v>Beginner</v>
      </c>
      <c r="S15" s="139" t="str">
        <f ca="1">IFERROR(__xludf.DUMMYFUNCTION("""COMPUTED_VALUE"""),"Grammar Girl’s Quick and Dirty Tips for Better Writing")</f>
        <v>Grammar Girl’s Quick and Dirty Tips for Better Writing</v>
      </c>
      <c r="T15" s="141"/>
      <c r="U15" s="134"/>
      <c r="V15" s="134"/>
    </row>
    <row r="16" spans="1:22" ht="33.75" customHeight="1" x14ac:dyDescent="0.15">
      <c r="A16" s="134"/>
      <c r="B16" s="134"/>
      <c r="C16" s="138">
        <f ca="1">IFERROR(__xludf.DUMMYFUNCTION("""COMPUTED_VALUE"""),456353)</f>
        <v>456353</v>
      </c>
      <c r="D16" s="138" t="str">
        <f ca="1">IFERROR(__xludf.DUMMYFUNCTION("""COMPUTED_VALUE"""),"Beginner")</f>
        <v>Beginner</v>
      </c>
      <c r="E16" s="139" t="str">
        <f ca="1">IFERROR(__xludf.DUMMYFUNCTION("""COMPUTED_VALUE"""),"Setting Team and Employee Goals Using SMART Methodology")</f>
        <v>Setting Team and Employee Goals Using SMART Methodology</v>
      </c>
      <c r="F16" s="141"/>
      <c r="G16" s="134"/>
      <c r="H16" s="134"/>
      <c r="I16" s="134"/>
      <c r="J16" s="138">
        <f ca="1">IFERROR(__xludf.DUMMYFUNCTION("""COMPUTED_VALUE"""),664811)</f>
        <v>664811</v>
      </c>
      <c r="K16" s="138" t="str">
        <f ca="1">IFERROR(__xludf.DUMMYFUNCTION("""COMPUTED_VALUE"""),"Beginner")</f>
        <v>Beginner</v>
      </c>
      <c r="L16" s="139" t="str">
        <f ca="1">IFERROR(__xludf.DUMMYFUNCTION("""COMPUTED_VALUE"""),"Diversity and Inclusion in a Global Enterprise")</f>
        <v>Diversity and Inclusion in a Global Enterprise</v>
      </c>
      <c r="M16" s="141"/>
      <c r="N16" s="134"/>
      <c r="O16" s="134"/>
      <c r="P16" s="134"/>
      <c r="Q16" s="138">
        <f ca="1">IFERROR(__xludf.DUMMYFUNCTION("""COMPUTED_VALUE"""),2819138)</f>
        <v>2819138</v>
      </c>
      <c r="R16" s="138" t="str">
        <f ca="1">IFERROR(__xludf.DUMMYFUNCTION("""COMPUTED_VALUE"""),"Beginner")</f>
        <v>Beginner</v>
      </c>
      <c r="S16" s="139" t="str">
        <f ca="1">IFERROR(__xludf.DUMMYFUNCTION("""COMPUTED_VALUE"""),"Tips for Better Business Writing")</f>
        <v>Tips for Better Business Writing</v>
      </c>
      <c r="T16" s="141"/>
      <c r="U16" s="134"/>
      <c r="V16" s="134"/>
    </row>
    <row r="17" spans="1:22" ht="33.75" customHeight="1" x14ac:dyDescent="0.15">
      <c r="A17" s="134"/>
      <c r="B17" s="134"/>
      <c r="C17" s="138">
        <f ca="1">IFERROR(__xludf.DUMMYFUNCTION("""COMPUTED_VALUE"""),536419)</f>
        <v>536419</v>
      </c>
      <c r="D17" s="138" t="str">
        <f ca="1">IFERROR(__xludf.DUMMYFUNCTION("""COMPUTED_VALUE"""),"Beginner")</f>
        <v>Beginner</v>
      </c>
      <c r="E17" s="139" t="str">
        <f ca="1">IFERROR(__xludf.DUMMYFUNCTION("""COMPUTED_VALUE"""),"Talent Management")</f>
        <v>Talent Management</v>
      </c>
      <c r="F17" s="141"/>
      <c r="G17" s="134"/>
      <c r="H17" s="134"/>
      <c r="I17" s="134"/>
      <c r="J17" s="138">
        <f ca="1">IFERROR(__xludf.DUMMYFUNCTION("""COMPUTED_VALUE"""),2819028)</f>
        <v>2819028</v>
      </c>
      <c r="K17" s="138" t="str">
        <f ca="1">IFERROR(__xludf.DUMMYFUNCTION("""COMPUTED_VALUE"""),"Beginner")</f>
        <v>Beginner</v>
      </c>
      <c r="L17" s="139" t="str">
        <f ca="1">IFERROR(__xludf.DUMMYFUNCTION("""COMPUTED_VALUE"""),"Diversity, Inclusion, and Belonging")</f>
        <v>Diversity, Inclusion, and Belonging</v>
      </c>
      <c r="M17" s="141"/>
      <c r="N17" s="134"/>
      <c r="O17" s="134"/>
      <c r="P17" s="134"/>
      <c r="Q17" s="138">
        <f ca="1">IFERROR(__xludf.DUMMYFUNCTION("""COMPUTED_VALUE"""),2819187)</f>
        <v>2819187</v>
      </c>
      <c r="R17" s="138" t="str">
        <f ca="1">IFERROR(__xludf.DUMMYFUNCTION("""COMPUTED_VALUE"""),"Beginner")</f>
        <v>Beginner</v>
      </c>
      <c r="S17" s="139" t="str">
        <f ca="1">IFERROR(__xludf.DUMMYFUNCTION("""COMPUTED_VALUE"""),"Writing a Marketing Plan")</f>
        <v>Writing a Marketing Plan</v>
      </c>
      <c r="T17" s="141"/>
      <c r="U17" s="134"/>
      <c r="V17" s="134"/>
    </row>
    <row r="18" spans="1:22" ht="33.75" customHeight="1" x14ac:dyDescent="0.15">
      <c r="A18" s="134"/>
      <c r="B18" s="134"/>
      <c r="C18" s="138">
        <f ca="1">IFERROR(__xludf.DUMMYFUNCTION("""COMPUTED_VALUE"""),2823138)</f>
        <v>2823138</v>
      </c>
      <c r="D18" s="138" t="str">
        <f ca="1">IFERROR(__xludf.DUMMYFUNCTION("""COMPUTED_VALUE"""),"Beginner")</f>
        <v>Beginner</v>
      </c>
      <c r="E18" s="139" t="str">
        <f ca="1">IFERROR(__xludf.DUMMYFUNCTION("""COMPUTED_VALUE"""),"Empathy Tips for HR Professionals")</f>
        <v>Empathy Tips for HR Professionals</v>
      </c>
      <c r="F18" s="141"/>
      <c r="G18" s="134"/>
      <c r="H18" s="134"/>
      <c r="I18" s="134"/>
      <c r="J18" s="138">
        <f ca="1">IFERROR(__xludf.DUMMYFUNCTION("""COMPUTED_VALUE"""),2802469)</f>
        <v>2802469</v>
      </c>
      <c r="K18" s="138" t="str">
        <f ca="1">IFERROR(__xludf.DUMMYFUNCTION("""COMPUTED_VALUE"""),"Beginner")</f>
        <v>Beginner</v>
      </c>
      <c r="L18" s="139" t="str">
        <f ca="1">IFERROR(__xludf.DUMMYFUNCTION("""COMPUTED_VALUE"""),"Diversity: The Best Resource for Achieving Business Goals")</f>
        <v>Diversity: The Best Resource for Achieving Business Goals</v>
      </c>
      <c r="M18" s="141"/>
      <c r="N18" s="134"/>
      <c r="O18" s="134"/>
      <c r="P18" s="134"/>
      <c r="Q18" s="138">
        <f ca="1">IFERROR(__xludf.DUMMYFUNCTION("""COMPUTED_VALUE"""),2299018)</f>
        <v>2299018</v>
      </c>
      <c r="R18" s="138" t="str">
        <f ca="1">IFERROR(__xludf.DUMMYFUNCTION("""COMPUTED_VALUE"""),"Beginner")</f>
        <v>Beginner</v>
      </c>
      <c r="S18" s="139" t="str">
        <f ca="1">IFERROR(__xludf.DUMMYFUNCTION("""COMPUTED_VALUE"""),"How to Become a Purpose-Driven Journalist")</f>
        <v>How to Become a Purpose-Driven Journalist</v>
      </c>
      <c r="T18" s="141"/>
      <c r="U18" s="134"/>
      <c r="V18" s="134"/>
    </row>
    <row r="19" spans="1:22" ht="33.75" customHeight="1" x14ac:dyDescent="0.15">
      <c r="A19" s="134"/>
      <c r="B19" s="134"/>
      <c r="C19" s="138">
        <f ca="1">IFERROR(__xludf.DUMMYFUNCTION("""COMPUTED_VALUE"""),5034159)</f>
        <v>5034159</v>
      </c>
      <c r="D19" s="138" t="str">
        <f ca="1">IFERROR(__xludf.DUMMYFUNCTION("""COMPUTED_VALUE"""),"Beginner + Intermediate")</f>
        <v>Beginner + Intermediate</v>
      </c>
      <c r="E19" s="139" t="str">
        <f ca="1">IFERROR(__xludf.DUMMYFUNCTION("""COMPUTED_VALUE"""),"Hiring an Employee for Managers")</f>
        <v>Hiring an Employee for Managers</v>
      </c>
      <c r="F19" s="141"/>
      <c r="G19" s="134"/>
      <c r="H19" s="134"/>
      <c r="I19" s="134"/>
      <c r="J19" s="138">
        <f ca="1">IFERROR(__xludf.DUMMYFUNCTION("""COMPUTED_VALUE"""),794118)</f>
        <v>794118</v>
      </c>
      <c r="K19" s="138" t="str">
        <f ca="1">IFERROR(__xludf.DUMMYFUNCTION("""COMPUTED_VALUE"""),"Beginner")</f>
        <v>Beginner</v>
      </c>
      <c r="L19" s="139" t="str">
        <f ca="1">IFERROR(__xludf.DUMMYFUNCTION("""COMPUTED_VALUE"""),"Teaching Civility in the Workplace")</f>
        <v>Teaching Civility in the Workplace</v>
      </c>
      <c r="M19" s="141"/>
      <c r="N19" s="134"/>
      <c r="O19" s="134"/>
      <c r="P19" s="134"/>
      <c r="Q19" s="138">
        <f ca="1">IFERROR(__xludf.DUMMYFUNCTION("""COMPUTED_VALUE"""),661747)</f>
        <v>661747</v>
      </c>
      <c r="R19" s="138" t="str">
        <f ca="1">IFERROR(__xludf.DUMMYFUNCTION("""COMPUTED_VALUE"""),"Beginner + Intermediate")</f>
        <v>Beginner + Intermediate</v>
      </c>
      <c r="S19" s="139" t="str">
        <f ca="1">IFERROR(__xludf.DUMMYFUNCTION("""COMPUTED_VALUE"""),"Technical Writing: Quick Start Guides")</f>
        <v>Technical Writing: Quick Start Guides</v>
      </c>
      <c r="T19" s="141"/>
      <c r="U19" s="134"/>
      <c r="V19" s="134"/>
    </row>
    <row r="20" spans="1:22" ht="33.75" customHeight="1" x14ac:dyDescent="0.15">
      <c r="A20" s="134"/>
      <c r="B20" s="134"/>
      <c r="C20" s="138">
        <f ca="1">IFERROR(__xludf.DUMMYFUNCTION("""COMPUTED_VALUE"""),802842)</f>
        <v>802842</v>
      </c>
      <c r="D20" s="138" t="str">
        <f ca="1">IFERROR(__xludf.DUMMYFUNCTION("""COMPUTED_VALUE"""),"Beginner + Intermediate")</f>
        <v>Beginner + Intermediate</v>
      </c>
      <c r="E20" s="139" t="str">
        <f ca="1">IFERROR(__xludf.DUMMYFUNCTION("""COMPUTED_VALUE"""),"Coaching and Developing Employees")</f>
        <v>Coaching and Developing Employees</v>
      </c>
      <c r="F20" s="141"/>
      <c r="G20" s="134"/>
      <c r="H20" s="134"/>
      <c r="I20" s="134"/>
      <c r="J20" s="138">
        <f ca="1">IFERROR(__xludf.DUMMYFUNCTION("""COMPUTED_VALUE"""),2807859)</f>
        <v>2807859</v>
      </c>
      <c r="K20" s="138" t="str">
        <f ca="1">IFERROR(__xludf.DUMMYFUNCTION("""COMPUTED_VALUE"""),"Beginner")</f>
        <v>Beginner</v>
      </c>
      <c r="L20" s="139" t="str">
        <f ca="1">IFERROR(__xludf.DUMMYFUNCTION("""COMPUTED_VALUE"""),"Women Transforming Tech: Voices from the Field")</f>
        <v>Women Transforming Tech: Voices from the Field</v>
      </c>
      <c r="M20" s="141"/>
      <c r="N20" s="134"/>
      <c r="O20" s="134"/>
      <c r="P20" s="134"/>
      <c r="Q20" s="138">
        <f ca="1">IFERROR(__xludf.DUMMYFUNCTION("""COMPUTED_VALUE"""),157341)</f>
        <v>157341</v>
      </c>
      <c r="R20" s="138" t="str">
        <f ca="1">IFERROR(__xludf.DUMMYFUNCTION("""COMPUTED_VALUE"""),"Beginner + Intermediate")</f>
        <v>Beginner + Intermediate</v>
      </c>
      <c r="S20" s="139" t="str">
        <f ca="1">IFERROR(__xludf.DUMMYFUNCTION("""COMPUTED_VALUE"""),"Writing a Business Report")</f>
        <v>Writing a Business Report</v>
      </c>
      <c r="T20" s="141"/>
      <c r="U20" s="134"/>
      <c r="V20" s="134"/>
    </row>
    <row r="21" spans="1:22" ht="33.75" customHeight="1" x14ac:dyDescent="0.15">
      <c r="A21" s="134"/>
      <c r="B21" s="134"/>
      <c r="C21" s="138">
        <f ca="1">IFERROR(__xludf.DUMMYFUNCTION("""COMPUTED_VALUE"""),661750)</f>
        <v>661750</v>
      </c>
      <c r="D21" s="138" t="str">
        <f ca="1">IFERROR(__xludf.DUMMYFUNCTION("""COMPUTED_VALUE"""),"Beginner + Intermediate")</f>
        <v>Beginner + Intermediate</v>
      </c>
      <c r="E21" s="139" t="str">
        <f ca="1">IFERROR(__xludf.DUMMYFUNCTION("""COMPUTED_VALUE"""),"Improving Employee Performance")</f>
        <v>Improving Employee Performance</v>
      </c>
      <c r="F21" s="141"/>
      <c r="G21" s="134"/>
      <c r="H21" s="134"/>
      <c r="I21" s="134"/>
      <c r="J21" s="138">
        <f ca="1">IFERROR(__xludf.DUMMYFUNCTION("""COMPUTED_VALUE"""),2810166)</f>
        <v>2810166</v>
      </c>
      <c r="K21" s="138" t="str">
        <f ca="1">IFERROR(__xludf.DUMMYFUNCTION("""COMPUTED_VALUE"""),"Beginner")</f>
        <v>Beginner</v>
      </c>
      <c r="L21" s="139" t="str">
        <f ca="1">IFERROR(__xludf.DUMMYFUNCTION("""COMPUTED_VALUE"""),"Women Transforming Tech: Breaking Bias")</f>
        <v>Women Transforming Tech: Breaking Bias</v>
      </c>
      <c r="M21" s="141"/>
      <c r="N21" s="134"/>
      <c r="O21" s="134"/>
      <c r="P21" s="134"/>
      <c r="Q21" s="138">
        <f ca="1">IFERROR(__xludf.DUMMYFUNCTION("""COMPUTED_VALUE"""),182920)</f>
        <v>182920</v>
      </c>
      <c r="R21" s="138" t="str">
        <f ca="1">IFERROR(__xludf.DUMMYFUNCTION("""COMPUTED_VALUE"""),"Beginner + Intermediate")</f>
        <v>Beginner + Intermediate</v>
      </c>
      <c r="S21" s="139" t="str">
        <f ca="1">IFERROR(__xludf.DUMMYFUNCTION("""COMPUTED_VALUE"""),"Writing a Proposal")</f>
        <v>Writing a Proposal</v>
      </c>
      <c r="T21" s="141"/>
      <c r="U21" s="134"/>
      <c r="V21" s="134"/>
    </row>
    <row r="22" spans="1:22" ht="33.75" customHeight="1" x14ac:dyDescent="0.15">
      <c r="A22" s="134"/>
      <c r="B22" s="134"/>
      <c r="C22" s="138">
        <f ca="1">IFERROR(__xludf.DUMMYFUNCTION("""COMPUTED_VALUE"""),5028615)</f>
        <v>5028615</v>
      </c>
      <c r="D22" s="138" t="str">
        <f ca="1">IFERROR(__xludf.DUMMYFUNCTION("""COMPUTED_VALUE"""),"Beginner + Intermediate")</f>
        <v>Beginner + Intermediate</v>
      </c>
      <c r="E22" s="139" t="str">
        <f ca="1">IFERROR(__xludf.DUMMYFUNCTION("""COMPUTED_VALUE"""),"Managing Virtual Teams")</f>
        <v>Managing Virtual Teams</v>
      </c>
      <c r="F22" s="141"/>
      <c r="G22" s="134"/>
      <c r="H22" s="134"/>
      <c r="I22" s="134"/>
      <c r="J22" s="138">
        <f ca="1">IFERROR(__xludf.DUMMYFUNCTION("""COMPUTED_VALUE"""),765323)</f>
        <v>765323</v>
      </c>
      <c r="K22" s="138" t="str">
        <f ca="1">IFERROR(__xludf.DUMMYFUNCTION("""COMPUTED_VALUE"""),"Beginner")</f>
        <v>Beginner</v>
      </c>
      <c r="L22" s="139" t="str">
        <f ca="1">IFERROR(__xludf.DUMMYFUNCTION("""COMPUTED_VALUE"""),"Teaching with LinkedIn Learning")</f>
        <v>Teaching with LinkedIn Learning</v>
      </c>
      <c r="M22" s="141"/>
      <c r="N22" s="134"/>
      <c r="O22" s="134"/>
      <c r="P22" s="134"/>
      <c r="Q22" s="138">
        <f ca="1">IFERROR(__xludf.DUMMYFUNCTION("""COMPUTED_VALUE"""),2823292)</f>
        <v>2823292</v>
      </c>
      <c r="R22" s="138" t="str">
        <f ca="1">IFERROR(__xludf.DUMMYFUNCTION("""COMPUTED_VALUE"""),"General")</f>
        <v>General</v>
      </c>
      <c r="S22" s="139" t="str">
        <f ca="1">IFERROR(__xludf.DUMMYFUNCTION("""COMPUTED_VALUE"""),"Writing Articles")</f>
        <v>Writing Articles</v>
      </c>
      <c r="T22" s="141"/>
      <c r="U22" s="134"/>
      <c r="V22" s="134"/>
    </row>
    <row r="23" spans="1:22" ht="33.75" customHeight="1" x14ac:dyDescent="0.15">
      <c r="A23" s="134"/>
      <c r="B23" s="134"/>
      <c r="C23" s="138">
        <f ca="1">IFERROR(__xludf.DUMMYFUNCTION("""COMPUTED_VALUE"""),688508)</f>
        <v>688508</v>
      </c>
      <c r="D23" s="138" t="str">
        <f ca="1">IFERROR(__xludf.DUMMYFUNCTION("""COMPUTED_VALUE"""),"Beginner + Intermediate")</f>
        <v>Beginner + Intermediate</v>
      </c>
      <c r="E23" s="139" t="str">
        <f ca="1">IFERROR(__xludf.DUMMYFUNCTION("""COMPUTED_VALUE"""),"Motivating and Engaging Employees")</f>
        <v>Motivating and Engaging Employees</v>
      </c>
      <c r="F23" s="141"/>
      <c r="G23" s="134"/>
      <c r="H23" s="134"/>
      <c r="I23" s="134"/>
      <c r="J23" s="138">
        <f ca="1">IFERROR(__xludf.DUMMYFUNCTION("""COMPUTED_VALUE"""),797726)</f>
        <v>797726</v>
      </c>
      <c r="K23" s="138" t="str">
        <f ca="1">IFERROR(__xludf.DUMMYFUNCTION("""COMPUTED_VALUE"""),"Beginner")</f>
        <v>Beginner</v>
      </c>
      <c r="L23" s="139" t="str">
        <f ca="1">IFERROR(__xludf.DUMMYFUNCTION("""COMPUTED_VALUE"""),"Marketing to Diverse Audiences")</f>
        <v>Marketing to Diverse Audiences</v>
      </c>
      <c r="M23" s="141"/>
      <c r="N23" s="134"/>
      <c r="O23" s="134"/>
      <c r="P23" s="134"/>
      <c r="Q23" s="138">
        <f ca="1">IFERROR(__xludf.DUMMYFUNCTION("""COMPUTED_VALUE"""),2254042)</f>
        <v>2254042</v>
      </c>
      <c r="R23" s="138" t="str">
        <f ca="1">IFERROR(__xludf.DUMMYFUNCTION("""COMPUTED_VALUE"""),"General")</f>
        <v>General</v>
      </c>
      <c r="S23" s="139" t="str">
        <f ca="1">IFERROR(__xludf.DUMMYFUNCTION("""COMPUTED_VALUE"""),"Writing a Tech Resume")</f>
        <v>Writing a Tech Resume</v>
      </c>
      <c r="T23" s="141"/>
      <c r="U23" s="134"/>
      <c r="V23" s="134"/>
    </row>
    <row r="24" spans="1:22" ht="33.75" customHeight="1" x14ac:dyDescent="0.15">
      <c r="A24" s="134"/>
      <c r="B24" s="134"/>
      <c r="C24" s="138">
        <f ca="1">IFERROR(__xludf.DUMMYFUNCTION("""COMPUTED_VALUE"""),661748)</f>
        <v>661748</v>
      </c>
      <c r="D24" s="138" t="str">
        <f ca="1">IFERROR(__xludf.DUMMYFUNCTION("""COMPUTED_VALUE"""),"Beginner + Intermediate")</f>
        <v>Beginner + Intermediate</v>
      </c>
      <c r="E24" s="139" t="str">
        <f ca="1">IFERROR(__xludf.DUMMYFUNCTION("""COMPUTED_VALUE"""),"Rewarding Employee Performance")</f>
        <v>Rewarding Employee Performance</v>
      </c>
      <c r="F24" s="141"/>
      <c r="G24" s="134"/>
      <c r="H24" s="134"/>
      <c r="I24" s="134"/>
      <c r="J24" s="138">
        <f ca="1">IFERROR(__xludf.DUMMYFUNCTION("""COMPUTED_VALUE"""),2812492)</f>
        <v>2812492</v>
      </c>
      <c r="K24" s="138" t="str">
        <f ca="1">IFERROR(__xludf.DUMMYFUNCTION("""COMPUTED_VALUE"""),"Beginner")</f>
        <v>Beginner</v>
      </c>
      <c r="L24" s="139" t="str">
        <f ca="1">IFERROR(__xludf.DUMMYFUNCTION("""COMPUTED_VALUE"""),"Overcoming Imposter Syndrome")</f>
        <v>Overcoming Imposter Syndrome</v>
      </c>
      <c r="M24" s="141"/>
      <c r="N24" s="134"/>
      <c r="O24" s="134"/>
      <c r="P24" s="134"/>
      <c r="Q24" s="138">
        <f ca="1">IFERROR(__xludf.DUMMYFUNCTION("""COMPUTED_VALUE"""),2824200)</f>
        <v>2824200</v>
      </c>
      <c r="R24" s="138" t="str">
        <f ca="1">IFERROR(__xludf.DUMMYFUNCTION("""COMPUTED_VALUE"""),"General")</f>
        <v>General</v>
      </c>
      <c r="S24" s="139" t="str">
        <f ca="1">IFERROR(__xludf.DUMMYFUNCTION("""COMPUTED_VALUE"""),"Writing in Plain Language")</f>
        <v>Writing in Plain Language</v>
      </c>
      <c r="T24" s="141"/>
      <c r="U24" s="134"/>
      <c r="V24" s="134"/>
    </row>
    <row r="25" spans="1:22" ht="33.75" customHeight="1" x14ac:dyDescent="0.15">
      <c r="A25" s="134"/>
      <c r="B25" s="134"/>
      <c r="C25" s="138">
        <f ca="1">IFERROR(__xludf.DUMMYFUNCTION("""COMPUTED_VALUE"""),2243041)</f>
        <v>2243041</v>
      </c>
      <c r="D25" s="138" t="str">
        <f ca="1">IFERROR(__xludf.DUMMYFUNCTION("""COMPUTED_VALUE"""),"General")</f>
        <v>General</v>
      </c>
      <c r="E25" s="139" t="str">
        <f ca="1">IFERROR(__xludf.DUMMYFUNCTION("""COMPUTED_VALUE"""),"Leading Professionals: Power, Politics, and Prima Donnas (getAbstract Summary)")</f>
        <v>Leading Professionals: Power, Politics, and Prima Donnas (getAbstract Summary)</v>
      </c>
      <c r="F25" s="141"/>
      <c r="G25" s="134"/>
      <c r="H25" s="134"/>
      <c r="I25" s="134"/>
      <c r="J25" s="138">
        <f ca="1">IFERROR(__xludf.DUMMYFUNCTION("""COMPUTED_VALUE"""),625918)</f>
        <v>625918</v>
      </c>
      <c r="K25" s="138" t="str">
        <f ca="1">IFERROR(__xludf.DUMMYFUNCTION("""COMPUTED_VALUE"""),"Beginner")</f>
        <v>Beginner</v>
      </c>
      <c r="L25" s="139" t="str">
        <f ca="1">IFERROR(__xludf.DUMMYFUNCTION("""COMPUTED_VALUE"""),"Proven Success Strategies for Women at Work")</f>
        <v>Proven Success Strategies for Women at Work</v>
      </c>
      <c r="M25" s="141"/>
      <c r="N25" s="134"/>
      <c r="O25" s="134"/>
      <c r="P25" s="134"/>
      <c r="Q25" s="138">
        <f ca="1">IFERROR(__xludf.DUMMYFUNCTION("""COMPUTED_VALUE"""),147532)</f>
        <v>147532</v>
      </c>
      <c r="R25" s="138" t="str">
        <f ca="1">IFERROR(__xludf.DUMMYFUNCTION("""COMPUTED_VALUE"""),"General")</f>
        <v>General</v>
      </c>
      <c r="S25" s="139" t="str">
        <f ca="1">IFERROR(__xludf.DUMMYFUNCTION("""COMPUTED_VALUE"""),"Business Writing Principles")</f>
        <v>Business Writing Principles</v>
      </c>
      <c r="T25" s="141"/>
      <c r="U25" s="134"/>
      <c r="V25" s="134"/>
    </row>
    <row r="26" spans="1:22" ht="33.75" customHeight="1" x14ac:dyDescent="0.15">
      <c r="A26" s="134"/>
      <c r="B26" s="134"/>
      <c r="C26" s="138">
        <f ca="1">IFERROR(__xludf.DUMMYFUNCTION("""COMPUTED_VALUE"""),2367363)</f>
        <v>2367363</v>
      </c>
      <c r="D26" s="138" t="str">
        <f ca="1">IFERROR(__xludf.DUMMYFUNCTION("""COMPUTED_VALUE"""),"General")</f>
        <v>General</v>
      </c>
      <c r="E26" s="139" t="str">
        <f ca="1">IFERROR(__xludf.DUMMYFUNCTION("""COMPUTED_VALUE"""),"Using Feedback to Drive Performance")</f>
        <v>Using Feedback to Drive Performance</v>
      </c>
      <c r="F26" s="141"/>
      <c r="G26" s="134"/>
      <c r="H26" s="134"/>
      <c r="I26" s="134"/>
      <c r="J26" s="138">
        <f ca="1">IFERROR(__xludf.DUMMYFUNCTION("""COMPUTED_VALUE"""),2811024)</f>
        <v>2811024</v>
      </c>
      <c r="K26" s="138" t="str">
        <f ca="1">IFERROR(__xludf.DUMMYFUNCTION("""COMPUTED_VALUE"""),"Beginner")</f>
        <v>Beginner</v>
      </c>
      <c r="L26" s="139" t="str">
        <f ca="1">IFERROR(__xludf.DUMMYFUNCTION("""COMPUTED_VALUE"""),"Women Transforming Tech: Building Your Brand")</f>
        <v>Women Transforming Tech: Building Your Brand</v>
      </c>
      <c r="M26" s="141"/>
      <c r="N26" s="134"/>
      <c r="O26" s="134"/>
      <c r="P26" s="134"/>
      <c r="Q26" s="138">
        <f ca="1">IFERROR(__xludf.DUMMYFUNCTION("""COMPUTED_VALUE"""),183418)</f>
        <v>183418</v>
      </c>
      <c r="R26" s="138" t="str">
        <f ca="1">IFERROR(__xludf.DUMMYFUNCTION("""COMPUTED_VALUE"""),"General")</f>
        <v>General</v>
      </c>
      <c r="S26" s="139" t="str">
        <f ca="1">IFERROR(__xludf.DUMMYFUNCTION("""COMPUTED_VALUE"""),"Business Writing Strategies")</f>
        <v>Business Writing Strategies</v>
      </c>
      <c r="T26" s="141"/>
      <c r="U26" s="134"/>
      <c r="V26" s="134"/>
    </row>
    <row r="27" spans="1:22" ht="33.75" customHeight="1" x14ac:dyDescent="0.15">
      <c r="A27" s="134"/>
      <c r="B27" s="134"/>
      <c r="C27" s="138">
        <f ca="1">IFERROR(__xludf.DUMMYFUNCTION("""COMPUTED_VALUE"""),2833052)</f>
        <v>2833052</v>
      </c>
      <c r="D27" s="138" t="str">
        <f ca="1">IFERROR(__xludf.DUMMYFUNCTION("""COMPUTED_VALUE"""),"Intermediate")</f>
        <v>Intermediate</v>
      </c>
      <c r="E27" s="139" t="str">
        <f ca="1">IFERROR(__xludf.DUMMYFUNCTION("""COMPUTED_VALUE"""),"Managing for Results")</f>
        <v>Managing for Results</v>
      </c>
      <c r="F27" s="141"/>
      <c r="G27" s="134"/>
      <c r="H27" s="134"/>
      <c r="I27" s="134"/>
      <c r="J27" s="138">
        <f ca="1">IFERROR(__xludf.DUMMYFUNCTION("""COMPUTED_VALUE"""),2805907)</f>
        <v>2805907</v>
      </c>
      <c r="K27" s="138" t="str">
        <f ca="1">IFERROR(__xludf.DUMMYFUNCTION("""COMPUTED_VALUE"""),"Beginner")</f>
        <v>Beginner</v>
      </c>
      <c r="L27" s="139" t="str">
        <f ca="1">IFERROR(__xludf.DUMMYFUNCTION("""COMPUTED_VALUE"""),"Women Transforming Tech: Finding Sponsors")</f>
        <v>Women Transforming Tech: Finding Sponsors</v>
      </c>
      <c r="M27" s="141"/>
      <c r="N27" s="134"/>
      <c r="O27" s="134"/>
      <c r="P27" s="134"/>
      <c r="Q27" s="138">
        <f ca="1">IFERROR(__xludf.DUMMYFUNCTION("""COMPUTED_VALUE"""),516507)</f>
        <v>516507</v>
      </c>
      <c r="R27" s="138" t="str">
        <f ca="1">IFERROR(__xludf.DUMMYFUNCTION("""COMPUTED_VALUE"""),"General")</f>
        <v>General</v>
      </c>
      <c r="S27" s="139" t="str">
        <f ca="1">IFERROR(__xludf.DUMMYFUNCTION("""COMPUTED_VALUE"""),"Editing and Proofreading Made Simple")</f>
        <v>Editing and Proofreading Made Simple</v>
      </c>
      <c r="T27" s="141"/>
      <c r="U27" s="134"/>
      <c r="V27" s="134"/>
    </row>
    <row r="28" spans="1:22" ht="33.75" customHeight="1" x14ac:dyDescent="0.15">
      <c r="A28" s="134"/>
      <c r="B28" s="134"/>
      <c r="C28" s="138">
        <f ca="1">IFERROR(__xludf.DUMMYFUNCTION("""COMPUTED_VALUE"""),808667)</f>
        <v>808667</v>
      </c>
      <c r="D28" s="138" t="str">
        <f ca="1">IFERROR(__xludf.DUMMYFUNCTION("""COMPUTED_VALUE"""),"Intermediate")</f>
        <v>Intermediate</v>
      </c>
      <c r="E28" s="139" t="str">
        <f ca="1">IFERROR(__xludf.DUMMYFUNCTION("""COMPUTED_VALUE"""),"Building a Coaching Culture: Improving Performance Through Timely Feedback")</f>
        <v>Building a Coaching Culture: Improving Performance Through Timely Feedback</v>
      </c>
      <c r="F28" s="141"/>
      <c r="G28" s="134"/>
      <c r="H28" s="134"/>
      <c r="I28" s="134"/>
      <c r="J28" s="138">
        <f ca="1">IFERROR(__xludf.DUMMYFUNCTION("""COMPUTED_VALUE"""),2807858)</f>
        <v>2807858</v>
      </c>
      <c r="K28" s="138" t="str">
        <f ca="1">IFERROR(__xludf.DUMMYFUNCTION("""COMPUTED_VALUE"""),"Beginner")</f>
        <v>Beginner</v>
      </c>
      <c r="L28" s="139" t="str">
        <f ca="1">IFERROR(__xludf.DUMMYFUNCTION("""COMPUTED_VALUE"""),"Women Transforming Tech: Getting Strategic with Your Career")</f>
        <v>Women Transforming Tech: Getting Strategic with Your Career</v>
      </c>
      <c r="M28" s="141"/>
      <c r="N28" s="134"/>
      <c r="O28" s="134"/>
      <c r="P28" s="134"/>
      <c r="Q28" s="138">
        <f ca="1">IFERROR(__xludf.DUMMYFUNCTION("""COMPUTED_VALUE"""),791333)</f>
        <v>791333</v>
      </c>
      <c r="R28" s="138" t="str">
        <f ca="1">IFERROR(__xludf.DUMMYFUNCTION("""COMPUTED_VALUE"""),"General")</f>
        <v>General</v>
      </c>
      <c r="S28" s="139" t="str">
        <f ca="1">IFERROR(__xludf.DUMMYFUNCTION("""COMPUTED_VALUE"""),"Productivity Hacks for Writers")</f>
        <v>Productivity Hacks for Writers</v>
      </c>
      <c r="T28" s="141"/>
      <c r="U28" s="134"/>
      <c r="V28" s="134"/>
    </row>
    <row r="29" spans="1:22" ht="33.75" customHeight="1" x14ac:dyDescent="0.15">
      <c r="A29" s="134"/>
      <c r="B29" s="134"/>
      <c r="C29" s="138">
        <f ca="1">IFERROR(__xludf.DUMMYFUNCTION("""COMPUTED_VALUE"""),645011)</f>
        <v>645011</v>
      </c>
      <c r="D29" s="138" t="str">
        <f ca="1">IFERROR(__xludf.DUMMYFUNCTION("""COMPUTED_VALUE"""),"Intermediate")</f>
        <v>Intermediate</v>
      </c>
      <c r="E29" s="139" t="str">
        <f ca="1">IFERROR(__xludf.DUMMYFUNCTION("""COMPUTED_VALUE"""),"Coaching Employees through Difficult Situations")</f>
        <v>Coaching Employees through Difficult Situations</v>
      </c>
      <c r="F29" s="141"/>
      <c r="G29" s="134"/>
      <c r="H29" s="134"/>
      <c r="I29" s="134"/>
      <c r="J29" s="138">
        <f ca="1">IFERROR(__xludf.DUMMYFUNCTION("""COMPUTED_VALUE"""),2808545)</f>
        <v>2808545</v>
      </c>
      <c r="K29" s="138" t="str">
        <f ca="1">IFERROR(__xludf.DUMMYFUNCTION("""COMPUTED_VALUE"""),"Beginner")</f>
        <v>Beginner</v>
      </c>
      <c r="L29" s="139" t="str">
        <f ca="1">IFERROR(__xludf.DUMMYFUNCTION("""COMPUTED_VALUE"""),"Women Transforming Tech: Networking")</f>
        <v>Women Transforming Tech: Networking</v>
      </c>
      <c r="M29" s="141"/>
      <c r="N29" s="134"/>
      <c r="O29" s="134"/>
      <c r="P29" s="134"/>
      <c r="Q29" s="138">
        <f ca="1">IFERROR(__xludf.DUMMYFUNCTION("""COMPUTED_VALUE"""),580625)</f>
        <v>580625</v>
      </c>
      <c r="R29" s="138" t="str">
        <f ca="1">IFERROR(__xludf.DUMMYFUNCTION("""COMPUTED_VALUE"""),"General")</f>
        <v>General</v>
      </c>
      <c r="S29" s="139" t="str">
        <f ca="1">IFERROR(__xludf.DUMMYFUNCTION("""COMPUTED_VALUE"""),"Writing a Business Case")</f>
        <v>Writing a Business Case</v>
      </c>
      <c r="T29" s="141"/>
      <c r="U29" s="134"/>
      <c r="V29" s="134"/>
    </row>
    <row r="30" spans="1:22" ht="33.75" customHeight="1" x14ac:dyDescent="0.15">
      <c r="A30" s="134"/>
      <c r="B30" s="134"/>
      <c r="C30" s="138">
        <f ca="1">IFERROR(__xludf.DUMMYFUNCTION("""COMPUTED_VALUE"""),592488)</f>
        <v>592488</v>
      </c>
      <c r="D30" s="138" t="str">
        <f ca="1">IFERROR(__xludf.DUMMYFUNCTION("""COMPUTED_VALUE"""),"Intermediate")</f>
        <v>Intermediate</v>
      </c>
      <c r="E30" s="139" t="str">
        <f ca="1">IFERROR(__xludf.DUMMYFUNCTION("""COMPUTED_VALUE"""),"Coaching for Results")</f>
        <v>Coaching for Results</v>
      </c>
      <c r="F30" s="141"/>
      <c r="G30" s="134"/>
      <c r="H30" s="134"/>
      <c r="I30" s="134"/>
      <c r="J30" s="138">
        <f ca="1">IFERROR(__xludf.DUMMYFUNCTION("""COMPUTED_VALUE"""),2825335)</f>
        <v>2825335</v>
      </c>
      <c r="K30" s="138" t="str">
        <f ca="1">IFERROR(__xludf.DUMMYFUNCTION("""COMPUTED_VALUE"""),"Beginner")</f>
        <v>Beginner</v>
      </c>
      <c r="L30" s="139" t="str">
        <f ca="1">IFERROR(__xludf.DUMMYFUNCTION("""COMPUTED_VALUE"""),"Finding and Doing the One Thing")</f>
        <v>Finding and Doing the One Thing</v>
      </c>
      <c r="M30" s="141"/>
      <c r="N30" s="134"/>
      <c r="O30" s="134"/>
      <c r="P30" s="134"/>
      <c r="Q30" s="138">
        <f ca="1">IFERROR(__xludf.DUMMYFUNCTION("""COMPUTED_VALUE"""),642461)</f>
        <v>642461</v>
      </c>
      <c r="R30" s="138" t="str">
        <f ca="1">IFERROR(__xludf.DUMMYFUNCTION("""COMPUTED_VALUE"""),"General")</f>
        <v>General</v>
      </c>
      <c r="S30" s="139" t="str">
        <f ca="1">IFERROR(__xludf.DUMMYFUNCTION("""COMPUTED_VALUE"""),"Writing a Compelling Blog Post")</f>
        <v>Writing a Compelling Blog Post</v>
      </c>
      <c r="T30" s="141"/>
      <c r="U30" s="134"/>
      <c r="V30" s="134"/>
    </row>
    <row r="31" spans="1:22" ht="33.75" customHeight="1" x14ac:dyDescent="0.15">
      <c r="A31" s="134"/>
      <c r="B31" s="134"/>
      <c r="C31" s="138">
        <f ca="1">IFERROR(__xludf.DUMMYFUNCTION("""COMPUTED_VALUE"""),769279)</f>
        <v>769279</v>
      </c>
      <c r="D31" s="138" t="str">
        <f ca="1">IFERROR(__xludf.DUMMYFUNCTION("""COMPUTED_VALUE"""),"Intermediate")</f>
        <v>Intermediate</v>
      </c>
      <c r="E31" s="139" t="str">
        <f ca="1">IFERROR(__xludf.DUMMYFUNCTION("""COMPUTED_VALUE"""),"Driving Workplace Happiness")</f>
        <v>Driving Workplace Happiness</v>
      </c>
      <c r="F31" s="141"/>
      <c r="G31" s="134"/>
      <c r="H31" s="134"/>
      <c r="I31" s="134"/>
      <c r="J31" s="138">
        <f ca="1">IFERROR(__xludf.DUMMYFUNCTION("""COMPUTED_VALUE"""),2813256)</f>
        <v>2813256</v>
      </c>
      <c r="K31" s="138" t="str">
        <f ca="1">IFERROR(__xludf.DUMMYFUNCTION("""COMPUTED_VALUE"""),"Beginner")</f>
        <v>Beginner</v>
      </c>
      <c r="L31" s="139" t="str">
        <f ca="1">IFERROR(__xludf.DUMMYFUNCTION("""COMPUTED_VALUE"""),"Connecting with Your Millennial Manager")</f>
        <v>Connecting with Your Millennial Manager</v>
      </c>
      <c r="M31" s="141"/>
      <c r="N31" s="134"/>
      <c r="O31" s="134"/>
      <c r="P31" s="134"/>
      <c r="Q31" s="138">
        <f ca="1">IFERROR(__xludf.DUMMYFUNCTION("""COMPUTED_VALUE"""),151813)</f>
        <v>151813</v>
      </c>
      <c r="R31" s="138" t="str">
        <f ca="1">IFERROR(__xludf.DUMMYFUNCTION("""COMPUTED_VALUE"""),"General")</f>
        <v>General</v>
      </c>
      <c r="S31" s="139" t="str">
        <f ca="1">IFERROR(__xludf.DUMMYFUNCTION("""COMPUTED_VALUE"""),"Writing Email")</f>
        <v>Writing Email</v>
      </c>
      <c r="T31" s="141"/>
      <c r="U31" s="134"/>
      <c r="V31" s="134"/>
    </row>
    <row r="32" spans="1:22" ht="33.75" customHeight="1" x14ac:dyDescent="0.15">
      <c r="A32" s="134"/>
      <c r="B32" s="134"/>
      <c r="C32" s="138">
        <f ca="1">IFERROR(__xludf.DUMMYFUNCTION("""COMPUTED_VALUE"""),700792)</f>
        <v>700792</v>
      </c>
      <c r="D32" s="138" t="str">
        <f ca="1">IFERROR(__xludf.DUMMYFUNCTION("""COMPUTED_VALUE"""),"Intermediate")</f>
        <v>Intermediate</v>
      </c>
      <c r="E32" s="139" t="str">
        <f ca="1">IFERROR(__xludf.DUMMYFUNCTION("""COMPUTED_VALUE"""),"Employee Experience")</f>
        <v>Employee Experience</v>
      </c>
      <c r="F32" s="141"/>
      <c r="G32" s="134"/>
      <c r="H32" s="134"/>
      <c r="I32" s="134"/>
      <c r="J32" s="138">
        <f ca="1">IFERROR(__xludf.DUMMYFUNCTION("""COMPUTED_VALUE"""),2841554)</f>
        <v>2841554</v>
      </c>
      <c r="K32" s="138" t="str">
        <f ca="1">IFERROR(__xludf.DUMMYFUNCTION("""COMPUTED_VALUE"""),"Beginner")</f>
        <v>Beginner</v>
      </c>
      <c r="L32" s="139" t="str">
        <f ca="1">IFERROR(__xludf.DUMMYFUNCTION("""COMPUTED_VALUE"""),"Inclusion During Difficult Times")</f>
        <v>Inclusion During Difficult Times</v>
      </c>
      <c r="M32" s="141"/>
      <c r="N32" s="134"/>
      <c r="O32" s="134"/>
      <c r="P32" s="134"/>
      <c r="Q32" s="138">
        <f ca="1">IFERROR(__xludf.DUMMYFUNCTION("""COMPUTED_VALUE"""),608988)</f>
        <v>608988</v>
      </c>
      <c r="R32" s="138" t="str">
        <f ca="1">IFERROR(__xludf.DUMMYFUNCTION("""COMPUTED_VALUE"""),"General")</f>
        <v>General</v>
      </c>
      <c r="S32" s="139" t="str">
        <f ca="1">IFERROR(__xludf.DUMMYFUNCTION("""COMPUTED_VALUE"""),"Writing Formal Business Letters and Emails")</f>
        <v>Writing Formal Business Letters and Emails</v>
      </c>
      <c r="T32" s="141"/>
      <c r="U32" s="134"/>
      <c r="V32" s="134"/>
    </row>
    <row r="33" spans="1:22" ht="33.75" customHeight="1" x14ac:dyDescent="0.15">
      <c r="A33" s="134"/>
      <c r="B33" s="134"/>
      <c r="C33" s="138">
        <f ca="1">IFERROR(__xludf.DUMMYFUNCTION("""COMPUTED_VALUE"""),746305)</f>
        <v>746305</v>
      </c>
      <c r="D33" s="138" t="str">
        <f ca="1">IFERROR(__xludf.DUMMYFUNCTION("""COMPUTED_VALUE"""),"Intermediate")</f>
        <v>Intermediate</v>
      </c>
      <c r="E33" s="139" t="str">
        <f ca="1">IFERROR(__xludf.DUMMYFUNCTION("""COMPUTED_VALUE"""),"Managing Employee Performance Problems")</f>
        <v>Managing Employee Performance Problems</v>
      </c>
      <c r="F33" s="141"/>
      <c r="G33" s="134"/>
      <c r="H33" s="134"/>
      <c r="I33" s="134"/>
      <c r="J33" s="138">
        <f ca="1">IFERROR(__xludf.DUMMYFUNCTION("""COMPUTED_VALUE"""),2818142)</f>
        <v>2818142</v>
      </c>
      <c r="K33" s="138" t="str">
        <f ca="1">IFERROR(__xludf.DUMMYFUNCTION("""COMPUTED_VALUE"""),"Beginner")</f>
        <v>Beginner</v>
      </c>
      <c r="L33" s="139" t="str">
        <f ca="1">IFERROR(__xludf.DUMMYFUNCTION("""COMPUTED_VALUE"""),"Own It: The Power of Women at Work")</f>
        <v>Own It: The Power of Women at Work</v>
      </c>
      <c r="M33" s="141"/>
      <c r="N33" s="134"/>
      <c r="O33" s="134"/>
      <c r="P33" s="134"/>
      <c r="Q33" s="138">
        <f ca="1">IFERROR(__xludf.DUMMYFUNCTION("""COMPUTED_VALUE"""),373555)</f>
        <v>373555</v>
      </c>
      <c r="R33" s="138" t="str">
        <f ca="1">IFERROR(__xludf.DUMMYFUNCTION("""COMPUTED_VALUE"""),"General")</f>
        <v>General</v>
      </c>
      <c r="S33" s="139" t="str">
        <f ca="1">IFERROR(__xludf.DUMMYFUNCTION("""COMPUTED_VALUE"""),"Writing in Plain English")</f>
        <v>Writing in Plain English</v>
      </c>
      <c r="T33" s="141"/>
      <c r="U33" s="134"/>
      <c r="V33" s="134"/>
    </row>
    <row r="34" spans="1:22" ht="33.75" customHeight="1" x14ac:dyDescent="0.15">
      <c r="A34" s="134"/>
      <c r="B34" s="134"/>
      <c r="C34" s="138">
        <f ca="1">IFERROR(__xludf.DUMMYFUNCTION("""COMPUTED_VALUE"""),585227)</f>
        <v>585227</v>
      </c>
      <c r="D34" s="138" t="str">
        <f ca="1">IFERROR(__xludf.DUMMYFUNCTION("""COMPUTED_VALUE"""),"Intermediate")</f>
        <v>Intermediate</v>
      </c>
      <c r="E34" s="139" t="str">
        <f ca="1">IFERROR(__xludf.DUMMYFUNCTION("""COMPUTED_VALUE"""),"Measuring Team Performance")</f>
        <v>Measuring Team Performance</v>
      </c>
      <c r="F34" s="141"/>
      <c r="G34" s="134"/>
      <c r="H34" s="134"/>
      <c r="I34" s="134"/>
      <c r="J34" s="138">
        <f ca="1">IFERROR(__xludf.DUMMYFUNCTION("""COMPUTED_VALUE"""),2848272)</f>
        <v>2848272</v>
      </c>
      <c r="K34" s="138" t="str">
        <f ca="1">IFERROR(__xludf.DUMMYFUNCTION("""COMPUTED_VALUE"""),"Beginner")</f>
        <v>Beginner</v>
      </c>
      <c r="L34" s="139" t="str">
        <f ca="1">IFERROR(__xludf.DUMMYFUNCTION("""COMPUTED_VALUE"""),"Inclusive Mindset for Committed Allies")</f>
        <v>Inclusive Mindset for Committed Allies</v>
      </c>
      <c r="M34" s="141"/>
      <c r="N34" s="134"/>
      <c r="O34" s="134"/>
      <c r="P34" s="134"/>
      <c r="Q34" s="138">
        <f ca="1">IFERROR(__xludf.DUMMYFUNCTION("""COMPUTED_VALUE"""),156089)</f>
        <v>156089</v>
      </c>
      <c r="R34" s="138" t="str">
        <f ca="1">IFERROR(__xludf.DUMMYFUNCTION("""COMPUTED_VALUE"""),"General")</f>
        <v>General</v>
      </c>
      <c r="S34" s="139" t="str">
        <f ca="1">IFERROR(__xludf.DUMMYFUNCTION("""COMPUTED_VALUE"""),"Writing Recommendations")</f>
        <v>Writing Recommendations</v>
      </c>
      <c r="T34" s="141"/>
      <c r="U34" s="134"/>
      <c r="V34" s="134"/>
    </row>
    <row r="35" spans="1:22" ht="33.75" customHeight="1" x14ac:dyDescent="0.15">
      <c r="A35" s="134"/>
      <c r="B35" s="134"/>
      <c r="C35" s="138">
        <f ca="1">IFERROR(__xludf.DUMMYFUNCTION("""COMPUTED_VALUE"""),2228265)</f>
        <v>2228265</v>
      </c>
      <c r="D35" s="138" t="str">
        <f ca="1">IFERROR(__xludf.DUMMYFUNCTION("""COMPUTED_VALUE"""),"Intermediate")</f>
        <v>Intermediate</v>
      </c>
      <c r="E35" s="139" t="str">
        <f ca="1">IFERROR(__xludf.DUMMYFUNCTION("""COMPUTED_VALUE"""),"Interviewing Techniques")</f>
        <v>Interviewing Techniques</v>
      </c>
      <c r="F35" s="141"/>
      <c r="G35" s="134"/>
      <c r="H35" s="134"/>
      <c r="I35" s="134"/>
      <c r="J35" s="138">
        <f ca="1">IFERROR(__xludf.DUMMYFUNCTION("""COMPUTED_VALUE"""),2825698)</f>
        <v>2825698</v>
      </c>
      <c r="K35" s="138" t="str">
        <f ca="1">IFERROR(__xludf.DUMMYFUNCTION("""COMPUTED_VALUE"""),"Beginner")</f>
        <v>Beginner</v>
      </c>
      <c r="L35" s="143" t="str">
        <f ca="1">IFERROR(__xludf.DUMMYFUNCTION("""COMPUTED_VALUE"""),"Inclusive Mindset")</f>
        <v>Inclusive Mindset</v>
      </c>
      <c r="M35" s="141"/>
      <c r="N35" s="134"/>
      <c r="O35" s="134"/>
      <c r="P35" s="134"/>
      <c r="Q35" s="138">
        <f ca="1">IFERROR(__xludf.DUMMYFUNCTION("""COMPUTED_VALUE"""),183419)</f>
        <v>183419</v>
      </c>
      <c r="R35" s="138" t="str">
        <f ca="1">IFERROR(__xludf.DUMMYFUNCTION("""COMPUTED_VALUE"""),"General")</f>
        <v>General</v>
      </c>
      <c r="S35" s="139" t="str">
        <f ca="1">IFERROR(__xludf.DUMMYFUNCTION("""COMPUTED_VALUE"""),"Writing Speeches")</f>
        <v>Writing Speeches</v>
      </c>
      <c r="T35" s="141"/>
      <c r="U35" s="134"/>
      <c r="V35" s="134"/>
    </row>
    <row r="36" spans="1:22" ht="33.75" customHeight="1" x14ac:dyDescent="0.15">
      <c r="A36" s="134"/>
      <c r="B36" s="134"/>
      <c r="C36" s="138">
        <f ca="1">IFERROR(__xludf.DUMMYFUNCTION("""COMPUTED_VALUE"""),2825499)</f>
        <v>2825499</v>
      </c>
      <c r="D36" s="138" t="str">
        <f ca="1">IFERROR(__xludf.DUMMYFUNCTION("""COMPUTED_VALUE"""),"Intermediate")</f>
        <v>Intermediate</v>
      </c>
      <c r="E36" s="139" t="str">
        <f ca="1">IFERROR(__xludf.DUMMYFUNCTION("""COMPUTED_VALUE"""),"Predictive Analytics Essential Training for Executives")</f>
        <v>Predictive Analytics Essential Training for Executives</v>
      </c>
      <c r="F36" s="141"/>
      <c r="G36" s="134"/>
      <c r="H36" s="134"/>
      <c r="I36" s="134"/>
      <c r="J36" s="138">
        <f ca="1">IFERROR(__xludf.DUMMYFUNCTION("""COMPUTED_VALUE"""),2853001)</f>
        <v>2853001</v>
      </c>
      <c r="K36" s="138" t="str">
        <f ca="1">IFERROR(__xludf.DUMMYFUNCTION("""COMPUTED_VALUE"""),"Beginner")</f>
        <v>Beginner</v>
      </c>
      <c r="L36" s="139" t="str">
        <f ca="1">IFERROR(__xludf.DUMMYFUNCTION("""COMPUTED_VALUE"""),"Empathy in Business: Design for Success")</f>
        <v>Empathy in Business: Design for Success</v>
      </c>
      <c r="M36" s="141"/>
      <c r="N36" s="134"/>
      <c r="O36" s="134"/>
      <c r="P36" s="134"/>
      <c r="Q36" s="138">
        <f ca="1">IFERROR(__xludf.DUMMYFUNCTION("""COMPUTED_VALUE"""),574671)</f>
        <v>574671</v>
      </c>
      <c r="R36" s="138" t="str">
        <f ca="1">IFERROR(__xludf.DUMMYFUNCTION("""COMPUTED_VALUE"""),"General")</f>
        <v>General</v>
      </c>
      <c r="S36" s="139" t="str">
        <f ca="1">IFERROR(__xludf.DUMMYFUNCTION("""COMPUTED_VALUE"""),"Writing Under a Deadline")</f>
        <v>Writing Under a Deadline</v>
      </c>
      <c r="T36" s="141"/>
      <c r="U36" s="134"/>
      <c r="V36" s="134"/>
    </row>
    <row r="37" spans="1:22" ht="33.75" customHeight="1" x14ac:dyDescent="0.15">
      <c r="A37" s="134"/>
      <c r="B37" s="134"/>
      <c r="C37" s="138">
        <f ca="1">IFERROR(__xludf.DUMMYFUNCTION("""COMPUTED_VALUE"""),2823546)</f>
        <v>2823546</v>
      </c>
      <c r="D37" s="138" t="str">
        <f ca="1">IFERROR(__xludf.DUMMYFUNCTION("""COMPUTED_VALUE"""),"Intermediate")</f>
        <v>Intermediate</v>
      </c>
      <c r="E37" s="139" t="str">
        <f ca="1">IFERROR(__xludf.DUMMYFUNCTION("""COMPUTED_VALUE"""),"Rolling Out a Diversity and Inclusion Training Program in Your Company")</f>
        <v>Rolling Out a Diversity and Inclusion Training Program in Your Company</v>
      </c>
      <c r="F37" s="141"/>
      <c r="G37" s="134"/>
      <c r="H37" s="134"/>
      <c r="I37" s="134"/>
      <c r="J37" s="138">
        <f ca="1">IFERROR(__xludf.DUMMYFUNCTION("""COMPUTED_VALUE"""),2865036)</f>
        <v>2865036</v>
      </c>
      <c r="K37" s="138" t="str">
        <f ca="1">IFERROR(__xludf.DUMMYFUNCTION("""COMPUTED_VALUE"""),"Beginner")</f>
        <v>Beginner</v>
      </c>
      <c r="L37" s="139" t="str">
        <f ca="1">IFERROR(__xludf.DUMMYFUNCTION("""COMPUTED_VALUE"""),"The Power of Introverts")</f>
        <v>The Power of Introverts</v>
      </c>
      <c r="M37" s="141"/>
      <c r="N37" s="134"/>
      <c r="O37" s="134"/>
      <c r="P37" s="134"/>
      <c r="Q37" s="138">
        <f ca="1">IFERROR(__xludf.DUMMYFUNCTION("""COMPUTED_VALUE"""),721923)</f>
        <v>721923</v>
      </c>
      <c r="R37" s="138" t="str">
        <f ca="1">IFERROR(__xludf.DUMMYFUNCTION("""COMPUTED_VALUE"""),"General")</f>
        <v>General</v>
      </c>
      <c r="S37" s="139" t="str">
        <f ca="1">IFERROR(__xludf.DUMMYFUNCTION("""COMPUTED_VALUE"""),"Writing with Flair: How to Become an Exceptional Writer")</f>
        <v>Writing with Flair: How to Become an Exceptional Writer</v>
      </c>
      <c r="T37" s="141"/>
      <c r="U37" s="134"/>
      <c r="V37" s="134"/>
    </row>
    <row r="38" spans="1:22" ht="33.75" customHeight="1" x14ac:dyDescent="0.15">
      <c r="A38" s="134"/>
      <c r="B38" s="134"/>
      <c r="C38" s="138">
        <f ca="1">IFERROR(__xludf.DUMMYFUNCTION("""COMPUTED_VALUE"""),564547)</f>
        <v>564547</v>
      </c>
      <c r="D38" s="138" t="str">
        <f ca="1">IFERROR(__xludf.DUMMYFUNCTION("""COMPUTED_VALUE"""),"Intermediate")</f>
        <v>Intermediate</v>
      </c>
      <c r="E38" s="139" t="str">
        <f ca="1">IFERROR(__xludf.DUMMYFUNCTION("""COMPUTED_VALUE"""),"Jeff Weiner on Establishing a Culture and a Plan for Scaling")</f>
        <v>Jeff Weiner on Establishing a Culture and a Plan for Scaling</v>
      </c>
      <c r="F38" s="141"/>
      <c r="G38" s="134"/>
      <c r="H38" s="134"/>
      <c r="I38" s="134"/>
      <c r="J38" s="138">
        <f ca="1">IFERROR(__xludf.DUMMYFUNCTION("""COMPUTED_VALUE"""),2877077)</f>
        <v>2877077</v>
      </c>
      <c r="K38" s="138" t="str">
        <f ca="1">IFERROR(__xludf.DUMMYFUNCTION("""COMPUTED_VALUE"""),"Beginner")</f>
        <v>Beginner</v>
      </c>
      <c r="L38" s="139" t="str">
        <f ca="1">IFERROR(__xludf.DUMMYFUNCTION("""COMPUTED_VALUE"""),"The Science of Compassion: Getting Started")</f>
        <v>The Science of Compassion: Getting Started</v>
      </c>
      <c r="M38" s="141"/>
      <c r="N38" s="134"/>
      <c r="O38" s="134"/>
      <c r="P38" s="134"/>
      <c r="Q38" s="138">
        <f ca="1">IFERROR(__xludf.DUMMYFUNCTION("""COMPUTED_VALUE"""),699321)</f>
        <v>699321</v>
      </c>
      <c r="R38" s="138" t="str">
        <f ca="1">IFERROR(__xludf.DUMMYFUNCTION("""COMPUTED_VALUE"""),"General")</f>
        <v>General</v>
      </c>
      <c r="S38" s="139" t="str">
        <f ca="1">IFERROR(__xludf.DUMMYFUNCTION("""COMPUTED_VALUE"""),"Writing with Impact")</f>
        <v>Writing with Impact</v>
      </c>
      <c r="T38" s="141"/>
      <c r="U38" s="134"/>
      <c r="V38" s="134"/>
    </row>
    <row r="39" spans="1:22" ht="33.75" customHeight="1" x14ac:dyDescent="0.15">
      <c r="A39" s="134"/>
      <c r="B39" s="134"/>
      <c r="C39" s="138"/>
      <c r="D39" s="138"/>
      <c r="E39" s="143"/>
      <c r="F39" s="141"/>
      <c r="G39" s="134"/>
      <c r="H39" s="134"/>
      <c r="I39" s="134"/>
      <c r="J39" s="138">
        <f ca="1">IFERROR(__xludf.DUMMYFUNCTION("""COMPUTED_VALUE"""),2877078)</f>
        <v>2877078</v>
      </c>
      <c r="K39" s="138" t="str">
        <f ca="1">IFERROR(__xludf.DUMMYFUNCTION("""COMPUTED_VALUE"""),"Beginner")</f>
        <v>Beginner</v>
      </c>
      <c r="L39" s="139" t="str">
        <f ca="1">IFERROR(__xludf.DUMMYFUNCTION("""COMPUTED_VALUE"""),"The Science of Compassion: The Upward Spiral of Compassion")</f>
        <v>The Science of Compassion: The Upward Spiral of Compassion</v>
      </c>
      <c r="M39" s="141"/>
      <c r="N39" s="134"/>
      <c r="O39" s="134"/>
      <c r="P39" s="134"/>
      <c r="Q39" s="138">
        <f ca="1">IFERROR(__xludf.DUMMYFUNCTION("""COMPUTED_VALUE"""),89962)</f>
        <v>89962</v>
      </c>
      <c r="R39" s="138" t="str">
        <f ca="1">IFERROR(__xludf.DUMMYFUNCTION("""COMPUTED_VALUE"""),"General")</f>
        <v>General</v>
      </c>
      <c r="S39" s="139" t="str">
        <f ca="1">IFERROR(__xludf.DUMMYFUNCTION("""COMPUTED_VALUE"""),"Writing: The Craft of Story")</f>
        <v>Writing: The Craft of Story</v>
      </c>
      <c r="T39" s="141"/>
      <c r="U39" s="134"/>
      <c r="V39" s="134"/>
    </row>
    <row r="40" spans="1:22" ht="33.75" customHeight="1" x14ac:dyDescent="0.15">
      <c r="A40" s="134"/>
      <c r="B40" s="134"/>
      <c r="C40" s="138"/>
      <c r="D40" s="138"/>
      <c r="E40" s="143"/>
      <c r="F40" s="141"/>
      <c r="G40" s="134"/>
      <c r="H40" s="134"/>
      <c r="I40" s="134"/>
      <c r="J40" s="138">
        <f ca="1">IFERROR(__xludf.DUMMYFUNCTION("""COMPUTED_VALUE"""),696328)</f>
        <v>696328</v>
      </c>
      <c r="K40" s="138" t="str">
        <f ca="1">IFERROR(__xludf.DUMMYFUNCTION("""COMPUTED_VALUE"""),"Beginner + Intermediate")</f>
        <v>Beginner + Intermediate</v>
      </c>
      <c r="L40" s="139" t="str">
        <f ca="1">IFERROR(__xludf.DUMMYFUNCTION("""COMPUTED_VALUE"""),"New Manager Foundations")</f>
        <v>New Manager Foundations</v>
      </c>
      <c r="M40" s="141"/>
      <c r="N40" s="134"/>
      <c r="O40" s="134"/>
      <c r="P40" s="134"/>
      <c r="Q40" s="138">
        <f ca="1">IFERROR(__xludf.DUMMYFUNCTION("""COMPUTED_VALUE"""),2227598)</f>
        <v>2227598</v>
      </c>
      <c r="R40" s="138" t="str">
        <f ca="1">IFERROR(__xludf.DUMMYFUNCTION("""COMPUTED_VALUE"""),"General")</f>
        <v>General</v>
      </c>
      <c r="S40" s="139" t="str">
        <f ca="1">IFERROR(__xludf.DUMMYFUNCTION("""COMPUTED_VALUE"""),"Conquering Writer's Block")</f>
        <v>Conquering Writer's Block</v>
      </c>
      <c r="T40" s="141"/>
      <c r="U40" s="134"/>
      <c r="V40" s="134"/>
    </row>
    <row r="41" spans="1:22" ht="33.75" customHeight="1" x14ac:dyDescent="0.15">
      <c r="A41" s="134"/>
      <c r="B41" s="134"/>
      <c r="C41" s="138"/>
      <c r="D41" s="138"/>
      <c r="E41" s="143"/>
      <c r="F41" s="141"/>
      <c r="G41" s="134"/>
      <c r="H41" s="134"/>
      <c r="I41" s="134"/>
      <c r="J41" s="138">
        <f ca="1">IFERROR(__xludf.DUMMYFUNCTION("""COMPUTED_VALUE"""),758621)</f>
        <v>758621</v>
      </c>
      <c r="K41" s="138" t="str">
        <f ca="1">IFERROR(__xludf.DUMMYFUNCTION("""COMPUTED_VALUE"""),"Beginner + Intermediate")</f>
        <v>Beginner + Intermediate</v>
      </c>
      <c r="L41" s="139" t="str">
        <f ca="1">IFERROR(__xludf.DUMMYFUNCTION("""COMPUTED_VALUE"""),"Multinational Communication in the Workplace")</f>
        <v>Multinational Communication in the Workplace</v>
      </c>
      <c r="M41" s="141"/>
      <c r="N41" s="134"/>
      <c r="O41" s="134"/>
      <c r="P41" s="134"/>
      <c r="Q41" s="138">
        <f ca="1">IFERROR(__xludf.DUMMYFUNCTION("""COMPUTED_VALUE"""),2800332)</f>
        <v>2800332</v>
      </c>
      <c r="R41" s="138" t="str">
        <f ca="1">IFERROR(__xludf.DUMMYFUNCTION("""COMPUTED_VALUE"""),"General")</f>
        <v>General</v>
      </c>
      <c r="S41" s="139" t="str">
        <f ca="1">IFERROR(__xludf.DUMMYFUNCTION("""COMPUTED_VALUE"""),"Running a Design Business: Writing and Pricing Winning Proposals")</f>
        <v>Running a Design Business: Writing and Pricing Winning Proposals</v>
      </c>
      <c r="T41" s="141"/>
      <c r="U41" s="134"/>
      <c r="V41" s="134"/>
    </row>
    <row r="42" spans="1:22" ht="33.75" customHeight="1" x14ac:dyDescent="0.15">
      <c r="A42" s="134"/>
      <c r="B42" s="134"/>
      <c r="C42" s="138"/>
      <c r="D42" s="138"/>
      <c r="E42" s="143"/>
      <c r="F42" s="141"/>
      <c r="G42" s="134"/>
      <c r="H42" s="134"/>
      <c r="I42" s="134"/>
      <c r="J42" s="138">
        <f ca="1">IFERROR(__xludf.DUMMYFUNCTION("""COMPUTED_VALUE"""),2824254)</f>
        <v>2824254</v>
      </c>
      <c r="K42" s="138" t="str">
        <f ca="1">IFERROR(__xludf.DUMMYFUNCTION("""COMPUTED_VALUE"""),"Beginner + Intermediate")</f>
        <v>Beginner + Intermediate</v>
      </c>
      <c r="L42" s="139" t="str">
        <f ca="1">IFERROR(__xludf.DUMMYFUNCTION("""COMPUTED_VALUE"""),"How to Be a Good Mentee and Mentor")</f>
        <v>How to Be a Good Mentee and Mentor</v>
      </c>
      <c r="M42" s="141"/>
      <c r="N42" s="134"/>
      <c r="O42" s="134"/>
      <c r="P42" s="134"/>
      <c r="Q42" s="138">
        <f ca="1">IFERROR(__xludf.DUMMYFUNCTION("""COMPUTED_VALUE"""),2806193)</f>
        <v>2806193</v>
      </c>
      <c r="R42" s="138" t="str">
        <f ca="1">IFERROR(__xludf.DUMMYFUNCTION("""COMPUTED_VALUE"""),"General")</f>
        <v>General</v>
      </c>
      <c r="S42" s="139" t="str">
        <f ca="1">IFERROR(__xludf.DUMMYFUNCTION("""COMPUTED_VALUE"""),"Tips for Writing Business Emails")</f>
        <v>Tips for Writing Business Emails</v>
      </c>
      <c r="T42" s="141"/>
      <c r="U42" s="134"/>
      <c r="V42" s="134"/>
    </row>
    <row r="43" spans="1:22" ht="33.75" customHeight="1" x14ac:dyDescent="0.15">
      <c r="A43" s="134"/>
      <c r="B43" s="134"/>
      <c r="C43" s="138"/>
      <c r="D43" s="138"/>
      <c r="E43" s="143"/>
      <c r="F43" s="141"/>
      <c r="G43" s="134"/>
      <c r="H43" s="134"/>
      <c r="I43" s="134"/>
      <c r="J43" s="138">
        <f ca="1">IFERROR(__xludf.DUMMYFUNCTION("""COMPUTED_VALUE"""),2835068)</f>
        <v>2835068</v>
      </c>
      <c r="K43" s="138" t="str">
        <f ca="1">IFERROR(__xludf.DUMMYFUNCTION("""COMPUTED_VALUE"""),"Beginner + Intermediate")</f>
        <v>Beginner + Intermediate</v>
      </c>
      <c r="L43" s="139" t="str">
        <f ca="1">IFERROR(__xludf.DUMMYFUNCTION("""COMPUTED_VALUE"""),"Preparing to Lead: Developing Mental Toughness in Yourself")</f>
        <v>Preparing to Lead: Developing Mental Toughness in Yourself</v>
      </c>
      <c r="M43" s="141"/>
      <c r="N43" s="134"/>
      <c r="O43" s="134"/>
      <c r="P43" s="134"/>
      <c r="Q43" s="138">
        <f ca="1">IFERROR(__xludf.DUMMYFUNCTION("""COMPUTED_VALUE"""),721926)</f>
        <v>721926</v>
      </c>
      <c r="R43" s="138" t="str">
        <f ca="1">IFERROR(__xludf.DUMMYFUNCTION("""COMPUTED_VALUE"""),"Intermediate")</f>
        <v>Intermediate</v>
      </c>
      <c r="S43" s="139" t="str">
        <f ca="1">IFERROR(__xludf.DUMMYFUNCTION("""COMPUTED_VALUE"""),"Ninja Writing: The Four Levels of Writing Mastery")</f>
        <v>Ninja Writing: The Four Levels of Writing Mastery</v>
      </c>
      <c r="T43" s="141"/>
      <c r="U43" s="134"/>
      <c r="V43" s="134"/>
    </row>
    <row r="44" spans="1:22" ht="33.75" customHeight="1" x14ac:dyDescent="0.15">
      <c r="A44" s="134"/>
      <c r="B44" s="134"/>
      <c r="C44" s="138"/>
      <c r="D44" s="138"/>
      <c r="E44" s="143"/>
      <c r="F44" s="141"/>
      <c r="G44" s="134"/>
      <c r="H44" s="134"/>
      <c r="I44" s="134"/>
      <c r="J44" s="138">
        <f ca="1">IFERROR(__xludf.DUMMYFUNCTION("""COMPUTED_VALUE"""),5002835)</f>
        <v>5002835</v>
      </c>
      <c r="K44" s="138" t="str">
        <f ca="1">IFERROR(__xludf.DUMMYFUNCTION("""COMPUTED_VALUE"""),"General")</f>
        <v>General</v>
      </c>
      <c r="L44" s="139" t="str">
        <f ca="1">IFERROR(__xludf.DUMMYFUNCTION("""COMPUTED_VALUE"""),"Becoming a Male Ally at Work")</f>
        <v>Becoming a Male Ally at Work</v>
      </c>
      <c r="M44" s="141"/>
      <c r="N44" s="134"/>
      <c r="O44" s="134"/>
      <c r="P44" s="134"/>
      <c r="Q44" s="138">
        <f ca="1">IFERROR(__xludf.DUMMYFUNCTION("""COMPUTED_VALUE"""),461915)</f>
        <v>461915</v>
      </c>
      <c r="R44" s="138" t="str">
        <f ca="1">IFERROR(__xludf.DUMMYFUNCTION("""COMPUTED_VALUE"""),"Intermediate")</f>
        <v>Intermediate</v>
      </c>
      <c r="S44" s="139" t="str">
        <f ca="1">IFERROR(__xludf.DUMMYFUNCTION("""COMPUTED_VALUE"""),"Writing Headlines")</f>
        <v>Writing Headlines</v>
      </c>
      <c r="T44" s="141"/>
      <c r="U44" s="134"/>
      <c r="V44" s="134"/>
    </row>
    <row r="45" spans="1:22" ht="33.75" customHeight="1" x14ac:dyDescent="0.15">
      <c r="A45" s="134"/>
      <c r="B45" s="134"/>
      <c r="C45" s="138"/>
      <c r="D45" s="138"/>
      <c r="E45" s="143"/>
      <c r="F45" s="141"/>
      <c r="G45" s="134"/>
      <c r="H45" s="134"/>
      <c r="I45" s="134"/>
      <c r="J45" s="138">
        <f ca="1">IFERROR(__xludf.DUMMYFUNCTION("""COMPUTED_VALUE"""),2819137)</f>
        <v>2819137</v>
      </c>
      <c r="K45" s="138" t="str">
        <f ca="1">IFERROR(__xludf.DUMMYFUNCTION("""COMPUTED_VALUE"""),"General")</f>
        <v>General</v>
      </c>
      <c r="L45" s="139" t="str">
        <f ca="1">IFERROR(__xludf.DUMMYFUNCTION("""COMPUTED_VALUE"""),"Developing a Diversity, Inclusion, and Belonging Program")</f>
        <v>Developing a Diversity, Inclusion, and Belonging Program</v>
      </c>
      <c r="M45" s="141"/>
      <c r="N45" s="134"/>
      <c r="O45" s="134"/>
      <c r="P45" s="134"/>
      <c r="Q45" s="138"/>
      <c r="R45" s="138"/>
      <c r="S45" s="143"/>
      <c r="T45" s="141"/>
      <c r="U45" s="134"/>
      <c r="V45" s="134"/>
    </row>
    <row r="46" spans="1:22" ht="33.75" customHeight="1" x14ac:dyDescent="0.15">
      <c r="A46" s="134"/>
      <c r="B46" s="134"/>
      <c r="C46" s="138"/>
      <c r="D46" s="138"/>
      <c r="E46" s="143"/>
      <c r="F46" s="141"/>
      <c r="G46" s="134"/>
      <c r="H46" s="134"/>
      <c r="I46" s="134"/>
      <c r="J46" s="138">
        <f ca="1">IFERROR(__xludf.DUMMYFUNCTION("""COMPUTED_VALUE"""),543904)</f>
        <v>543904</v>
      </c>
      <c r="K46" s="138" t="str">
        <f ca="1">IFERROR(__xludf.DUMMYFUNCTION("""COMPUTED_VALUE"""),"General")</f>
        <v>General</v>
      </c>
      <c r="L46" s="139" t="str">
        <f ca="1">IFERROR(__xludf.DUMMYFUNCTION("""COMPUTED_VALUE"""),"John Maeda on Design, Business, and Inclusion")</f>
        <v>John Maeda on Design, Business, and Inclusion</v>
      </c>
      <c r="M46" s="141"/>
      <c r="N46" s="134"/>
      <c r="O46" s="134"/>
      <c r="P46" s="134"/>
      <c r="Q46" s="138"/>
      <c r="R46" s="138"/>
      <c r="S46" s="143"/>
      <c r="T46" s="141"/>
      <c r="U46" s="134"/>
      <c r="V46" s="134"/>
    </row>
    <row r="47" spans="1:22" ht="33.75" customHeight="1" x14ac:dyDescent="0.15">
      <c r="A47" s="134"/>
      <c r="B47" s="134"/>
      <c r="C47" s="138"/>
      <c r="D47" s="138"/>
      <c r="E47" s="143"/>
      <c r="F47" s="141"/>
      <c r="G47" s="134"/>
      <c r="H47" s="134"/>
      <c r="I47" s="134"/>
      <c r="J47" s="138">
        <f ca="1">IFERROR(__xludf.DUMMYFUNCTION("""COMPUTED_VALUE"""),758616)</f>
        <v>758616</v>
      </c>
      <c r="K47" s="138" t="str">
        <f ca="1">IFERROR(__xludf.DUMMYFUNCTION("""COMPUTED_VALUE"""),"General")</f>
        <v>General</v>
      </c>
      <c r="L47" s="139" t="str">
        <f ca="1">IFERROR(__xludf.DUMMYFUNCTION("""COMPUTED_VALUE"""),"Shane Snow on Dream Teams")</f>
        <v>Shane Snow on Dream Teams</v>
      </c>
      <c r="M47" s="141"/>
      <c r="N47" s="134"/>
      <c r="O47" s="134"/>
      <c r="P47" s="134"/>
      <c r="Q47" s="138"/>
      <c r="R47" s="138"/>
      <c r="S47" s="143"/>
      <c r="T47" s="141"/>
      <c r="U47" s="134"/>
      <c r="V47" s="134"/>
    </row>
    <row r="48" spans="1:22" ht="33.75" customHeight="1" x14ac:dyDescent="0.15">
      <c r="A48" s="134"/>
      <c r="B48" s="134"/>
      <c r="C48" s="138"/>
      <c r="D48" s="138"/>
      <c r="E48" s="151"/>
      <c r="F48" s="152"/>
      <c r="G48" s="134"/>
      <c r="H48" s="134"/>
      <c r="I48" s="134"/>
      <c r="J48" s="138">
        <f ca="1">IFERROR(__xludf.DUMMYFUNCTION("""COMPUTED_VALUE"""),2825696)</f>
        <v>2825696</v>
      </c>
      <c r="K48" s="138" t="str">
        <f ca="1">IFERROR(__xludf.DUMMYFUNCTION("""COMPUTED_VALUE"""),"General")</f>
        <v>General</v>
      </c>
      <c r="L48" s="139" t="str">
        <f ca="1">IFERROR(__xludf.DUMMYFUNCTION("""COMPUTED_VALUE"""),"Speaking Up At Work")</f>
        <v>Speaking Up At Work</v>
      </c>
      <c r="M48" s="152"/>
      <c r="N48" s="134"/>
      <c r="O48" s="134"/>
      <c r="P48" s="134"/>
      <c r="Q48" s="138"/>
      <c r="R48" s="138"/>
      <c r="S48" s="151"/>
      <c r="T48" s="152"/>
      <c r="U48" s="134"/>
      <c r="V48" s="134"/>
    </row>
    <row r="49" spans="1:22" ht="33.75" customHeight="1" x14ac:dyDescent="0.15">
      <c r="A49" s="134"/>
      <c r="B49" s="134"/>
      <c r="C49" s="138"/>
      <c r="D49" s="138"/>
      <c r="E49" s="151"/>
      <c r="F49" s="152"/>
      <c r="G49" s="134"/>
      <c r="H49" s="134"/>
      <c r="I49" s="134"/>
      <c r="J49" s="138">
        <f ca="1">IFERROR(__xludf.DUMMYFUNCTION("""COMPUTED_VALUE"""),5028612)</f>
        <v>5028612</v>
      </c>
      <c r="K49" s="138" t="str">
        <f ca="1">IFERROR(__xludf.DUMMYFUNCTION("""COMPUTED_VALUE"""),"General")</f>
        <v>General</v>
      </c>
      <c r="L49" s="139" t="str">
        <f ca="1">IFERROR(__xludf.DUMMYFUNCTION("""COMPUTED_VALUE"""),"Bystander Training: From Bystander to Upstander")</f>
        <v>Bystander Training: From Bystander to Upstander</v>
      </c>
      <c r="M49" s="152"/>
      <c r="N49" s="134"/>
      <c r="O49" s="134"/>
      <c r="P49" s="134"/>
      <c r="Q49" s="138"/>
      <c r="R49" s="138"/>
      <c r="S49" s="151"/>
      <c r="T49" s="152"/>
      <c r="U49" s="134"/>
      <c r="V49" s="134"/>
    </row>
    <row r="50" spans="1:22" ht="33.75" customHeight="1" x14ac:dyDescent="0.15">
      <c r="A50" s="134"/>
      <c r="B50" s="134"/>
      <c r="C50" s="138"/>
      <c r="D50" s="138"/>
      <c r="E50" s="151"/>
      <c r="F50" s="152"/>
      <c r="G50" s="134"/>
      <c r="H50" s="134"/>
      <c r="I50" s="134"/>
      <c r="J50" s="138">
        <f ca="1">IFERROR(__xludf.DUMMYFUNCTION("""COMPUTED_VALUE"""),779733)</f>
        <v>779733</v>
      </c>
      <c r="K50" s="138" t="str">
        <f ca="1">IFERROR(__xludf.DUMMYFUNCTION("""COMPUTED_VALUE"""),"General")</f>
        <v>General</v>
      </c>
      <c r="L50" s="139" t="str">
        <f ca="1">IFERROR(__xludf.DUMMYFUNCTION("""COMPUTED_VALUE"""),"Cultivating Cultural Competence and Inclusion")</f>
        <v>Cultivating Cultural Competence and Inclusion</v>
      </c>
      <c r="M50" s="152"/>
      <c r="N50" s="134"/>
      <c r="O50" s="134"/>
      <c r="P50" s="134"/>
      <c r="Q50" s="138"/>
      <c r="R50" s="138"/>
      <c r="S50" s="151"/>
      <c r="T50" s="152"/>
      <c r="U50" s="134"/>
      <c r="V50" s="134"/>
    </row>
    <row r="51" spans="1:22" ht="33.75" customHeight="1" x14ac:dyDescent="0.15">
      <c r="A51" s="134"/>
      <c r="B51" s="134"/>
      <c r="C51" s="138"/>
      <c r="D51" s="138"/>
      <c r="E51" s="151"/>
      <c r="F51" s="152"/>
      <c r="G51" s="134"/>
      <c r="H51" s="134"/>
      <c r="I51" s="134"/>
      <c r="J51" s="138">
        <f ca="1">IFERROR(__xludf.DUMMYFUNCTION("""COMPUTED_VALUE"""),5040392)</f>
        <v>5040392</v>
      </c>
      <c r="K51" s="138" t="str">
        <f ca="1">IFERROR(__xludf.DUMMYFUNCTION("""COMPUTED_VALUE"""),"General")</f>
        <v>General</v>
      </c>
      <c r="L51" s="139" t="str">
        <f ca="1">IFERROR(__xludf.DUMMYFUNCTION("""COMPUTED_VALUE"""),"Fighting Gender Bias at Work")</f>
        <v>Fighting Gender Bias at Work</v>
      </c>
      <c r="M51" s="152"/>
      <c r="N51" s="134"/>
      <c r="O51" s="134"/>
      <c r="P51" s="134"/>
      <c r="Q51" s="138"/>
      <c r="R51" s="138"/>
      <c r="S51" s="151"/>
      <c r="T51" s="152"/>
      <c r="U51" s="134"/>
      <c r="V51" s="134"/>
    </row>
    <row r="52" spans="1:22" ht="33.75" customHeight="1" x14ac:dyDescent="0.15">
      <c r="A52" s="134"/>
      <c r="B52" s="134"/>
      <c r="C52" s="138"/>
      <c r="D52" s="138"/>
      <c r="E52" s="151"/>
      <c r="F52" s="152"/>
      <c r="G52" s="134"/>
      <c r="H52" s="134"/>
      <c r="I52" s="134"/>
      <c r="J52" s="138">
        <f ca="1">IFERROR(__xludf.DUMMYFUNCTION("""COMPUTED_VALUE"""),716048)</f>
        <v>716048</v>
      </c>
      <c r="K52" s="138" t="str">
        <f ca="1">IFERROR(__xludf.DUMMYFUNCTION("""COMPUTED_VALUE"""),"General")</f>
        <v>General</v>
      </c>
      <c r="L52" s="139" t="str">
        <f ca="1">IFERROR(__xludf.DUMMYFUNCTION("""COMPUTED_VALUE"""),"Preventing Harassment in the Workplace")</f>
        <v>Preventing Harassment in the Workplace</v>
      </c>
      <c r="M52" s="152"/>
      <c r="N52" s="134"/>
      <c r="O52" s="134"/>
      <c r="P52" s="134"/>
      <c r="Q52" s="138"/>
      <c r="R52" s="138"/>
      <c r="S52" s="151"/>
      <c r="T52" s="152"/>
      <c r="U52" s="134"/>
      <c r="V52" s="134"/>
    </row>
    <row r="53" spans="1:22" ht="33.75" customHeight="1" x14ac:dyDescent="0.15">
      <c r="A53" s="134"/>
      <c r="B53" s="134"/>
      <c r="C53" s="138"/>
      <c r="D53" s="138"/>
      <c r="E53" s="151"/>
      <c r="F53" s="152"/>
      <c r="G53" s="134"/>
      <c r="H53" s="134"/>
      <c r="I53" s="134"/>
      <c r="J53" s="138">
        <f ca="1">IFERROR(__xludf.DUMMYFUNCTION("""COMPUTED_VALUE"""),5025098)</f>
        <v>5025098</v>
      </c>
      <c r="K53" s="138" t="str">
        <f ca="1">IFERROR(__xludf.DUMMYFUNCTION("""COMPUTED_VALUE"""),"General")</f>
        <v>General</v>
      </c>
      <c r="L53" s="139" t="str">
        <f ca="1">IFERROR(__xludf.DUMMYFUNCTION("""COMPUTED_VALUE"""),"Skills for Inclusive Conversations")</f>
        <v>Skills for Inclusive Conversations</v>
      </c>
      <c r="M53" s="152"/>
      <c r="N53" s="134"/>
      <c r="O53" s="134"/>
      <c r="P53" s="134"/>
      <c r="Q53" s="138"/>
      <c r="R53" s="138"/>
      <c r="S53" s="151"/>
      <c r="T53" s="152"/>
      <c r="U53" s="134"/>
      <c r="V53" s="134"/>
    </row>
    <row r="54" spans="1:22" ht="33.75" customHeight="1" x14ac:dyDescent="0.15">
      <c r="A54" s="134"/>
      <c r="B54" s="134"/>
      <c r="C54" s="138"/>
      <c r="D54" s="138"/>
      <c r="E54" s="151"/>
      <c r="F54" s="152"/>
      <c r="G54" s="134"/>
      <c r="H54" s="134"/>
      <c r="I54" s="134"/>
      <c r="J54" s="138">
        <f ca="1">IFERROR(__xludf.DUMMYFUNCTION("""COMPUTED_VALUE"""),2800408)</f>
        <v>2800408</v>
      </c>
      <c r="K54" s="138" t="str">
        <f ca="1">IFERROR(__xludf.DUMMYFUNCTION("""COMPUTED_VALUE"""),"General")</f>
        <v>General</v>
      </c>
      <c r="L54" s="139" t="str">
        <f ca="1">IFERROR(__xludf.DUMMYFUNCTION("""COMPUTED_VALUE"""),"Leadership in Tech")</f>
        <v>Leadership in Tech</v>
      </c>
      <c r="M54" s="152"/>
      <c r="N54" s="134"/>
      <c r="O54" s="134"/>
      <c r="P54" s="134"/>
      <c r="Q54" s="138"/>
      <c r="R54" s="138"/>
      <c r="S54" s="151"/>
      <c r="T54" s="152"/>
      <c r="U54" s="134"/>
      <c r="V54" s="134"/>
    </row>
    <row r="55" spans="1:22" ht="33.75" customHeight="1" x14ac:dyDescent="0.15">
      <c r="A55" s="134"/>
      <c r="B55" s="134"/>
      <c r="C55" s="138"/>
      <c r="D55" s="138"/>
      <c r="E55" s="151"/>
      <c r="F55" s="152"/>
      <c r="G55" s="134"/>
      <c r="H55" s="134"/>
      <c r="I55" s="134"/>
      <c r="J55" s="138">
        <f ca="1">IFERROR(__xludf.DUMMYFUNCTION("""COMPUTED_VALUE"""),2848250)</f>
        <v>2848250</v>
      </c>
      <c r="K55" s="138" t="str">
        <f ca="1">IFERROR(__xludf.DUMMYFUNCTION("""COMPUTED_VALUE"""),"General")</f>
        <v>General</v>
      </c>
      <c r="L55" s="139" t="str">
        <f ca="1">IFERROR(__xludf.DUMMYFUNCTION("""COMPUTED_VALUE"""),"Supporting the Whole Self at Work, a Diversity and Inclusion Imperative")</f>
        <v>Supporting the Whole Self at Work, a Diversity and Inclusion Imperative</v>
      </c>
      <c r="M55" s="152"/>
      <c r="N55" s="134"/>
      <c r="O55" s="134"/>
      <c r="P55" s="134"/>
      <c r="Q55" s="138"/>
      <c r="R55" s="138"/>
      <c r="S55" s="151"/>
      <c r="T55" s="152"/>
      <c r="U55" s="134"/>
      <c r="V55" s="134"/>
    </row>
    <row r="56" spans="1:22" ht="33.75" customHeight="1" x14ac:dyDescent="0.15">
      <c r="A56" s="134"/>
      <c r="B56" s="134"/>
      <c r="C56" s="138"/>
      <c r="D56" s="138"/>
      <c r="E56" s="151"/>
      <c r="F56" s="152"/>
      <c r="G56" s="134"/>
      <c r="H56" s="134"/>
      <c r="I56" s="134"/>
      <c r="J56" s="138">
        <f ca="1">IFERROR(__xludf.DUMMYFUNCTION("""COMPUTED_VALUE"""),2839076)</f>
        <v>2839076</v>
      </c>
      <c r="K56" s="138" t="str">
        <f ca="1">IFERROR(__xludf.DUMMYFUNCTION("""COMPUTED_VALUE"""),"General")</f>
        <v>General</v>
      </c>
      <c r="L56" s="139" t="str">
        <f ca="1">IFERROR(__xludf.DUMMYFUNCTION("""COMPUTED_VALUE"""),"Awakening Compassion at Work (Blinkist Summary)")</f>
        <v>Awakening Compassion at Work (Blinkist Summary)</v>
      </c>
      <c r="M56" s="152"/>
      <c r="N56" s="134"/>
      <c r="O56" s="134"/>
      <c r="P56" s="134"/>
      <c r="Q56" s="138"/>
      <c r="R56" s="138"/>
      <c r="S56" s="151"/>
      <c r="T56" s="152"/>
      <c r="U56" s="134"/>
      <c r="V56" s="134"/>
    </row>
    <row r="57" spans="1:22" ht="33.75" customHeight="1" x14ac:dyDescent="0.15">
      <c r="A57" s="134"/>
      <c r="B57" s="134"/>
      <c r="C57" s="138"/>
      <c r="D57" s="138"/>
      <c r="E57" s="151"/>
      <c r="F57" s="152"/>
      <c r="G57" s="134"/>
      <c r="H57" s="134"/>
      <c r="I57" s="134"/>
      <c r="J57" s="138">
        <f ca="1">IFERROR(__xludf.DUMMYFUNCTION("""COMPUTED_VALUE"""),2864030)</f>
        <v>2864030</v>
      </c>
      <c r="K57" s="138" t="str">
        <f ca="1">IFERROR(__xludf.DUMMYFUNCTION("""COMPUTED_VALUE"""),"General")</f>
        <v>General</v>
      </c>
      <c r="L57" s="139" t="str">
        <f ca="1">IFERROR(__xludf.DUMMYFUNCTION("""COMPUTED_VALUE"""),"Driving Change and Anti-Racism")</f>
        <v>Driving Change and Anti-Racism</v>
      </c>
      <c r="M57" s="152"/>
      <c r="N57" s="134"/>
      <c r="O57" s="134"/>
      <c r="P57" s="134"/>
      <c r="Q57" s="138"/>
      <c r="R57" s="138"/>
      <c r="S57" s="151"/>
      <c r="T57" s="152"/>
      <c r="U57" s="134"/>
      <c r="V57" s="134"/>
    </row>
    <row r="58" spans="1:22" ht="33.75" customHeight="1" x14ac:dyDescent="0.15">
      <c r="A58" s="134"/>
      <c r="B58" s="134"/>
      <c r="C58" s="138"/>
      <c r="D58" s="138"/>
      <c r="E58" s="151"/>
      <c r="F58" s="152"/>
      <c r="G58" s="134"/>
      <c r="H58" s="134"/>
      <c r="I58" s="134"/>
      <c r="J58" s="138">
        <f ca="1">IFERROR(__xludf.DUMMYFUNCTION("""COMPUTED_VALUE"""),2848321)</f>
        <v>2848321</v>
      </c>
      <c r="K58" s="138" t="str">
        <f ca="1">IFERROR(__xludf.DUMMYFUNCTION("""COMPUTED_VALUE"""),"General")</f>
        <v>General</v>
      </c>
      <c r="L58" s="139" t="str">
        <f ca="1">IFERROR(__xludf.DUMMYFUNCTION("""COMPUTED_VALUE"""),"Difficult Conversations: Talking About Race at Work")</f>
        <v>Difficult Conversations: Talking About Race at Work</v>
      </c>
      <c r="M58" s="152"/>
      <c r="N58" s="134"/>
      <c r="O58" s="134"/>
      <c r="P58" s="134"/>
      <c r="Q58" s="138"/>
      <c r="R58" s="138"/>
      <c r="S58" s="151"/>
      <c r="T58" s="152"/>
      <c r="U58" s="134"/>
      <c r="V58" s="134"/>
    </row>
    <row r="59" spans="1:22" ht="33.75" customHeight="1" x14ac:dyDescent="0.15">
      <c r="A59" s="134"/>
      <c r="B59" s="134"/>
      <c r="C59" s="138"/>
      <c r="D59" s="138"/>
      <c r="E59" s="151"/>
      <c r="F59" s="152"/>
      <c r="G59" s="134"/>
      <c r="H59" s="134"/>
      <c r="I59" s="134"/>
      <c r="J59" s="138">
        <f ca="1">IFERROR(__xludf.DUMMYFUNCTION("""COMPUTED_VALUE"""),2825601)</f>
        <v>2825601</v>
      </c>
      <c r="K59" s="138" t="str">
        <f ca="1">IFERROR(__xludf.DUMMYFUNCTION("""COMPUTED_VALUE"""),"Intermediate")</f>
        <v>Intermediate</v>
      </c>
      <c r="L59" s="139" t="str">
        <f ca="1">IFERROR(__xludf.DUMMYFUNCTION("""COMPUTED_VALUE"""),"Creating a Connection Culture")</f>
        <v>Creating a Connection Culture</v>
      </c>
      <c r="M59" s="152"/>
      <c r="N59" s="134"/>
      <c r="O59" s="134"/>
      <c r="P59" s="134"/>
      <c r="Q59" s="138"/>
      <c r="R59" s="138"/>
      <c r="S59" s="151"/>
      <c r="T59" s="152"/>
      <c r="U59" s="134"/>
      <c r="V59" s="134"/>
    </row>
    <row r="60" spans="1:22" ht="33.75" customHeight="1" x14ac:dyDescent="0.15">
      <c r="A60" s="134"/>
      <c r="B60" s="134"/>
      <c r="C60" s="138"/>
      <c r="D60" s="138"/>
      <c r="E60" s="151"/>
      <c r="F60" s="152"/>
      <c r="G60" s="134"/>
      <c r="H60" s="134"/>
      <c r="I60" s="134"/>
      <c r="J60" s="138">
        <f ca="1">IFERROR(__xludf.DUMMYFUNCTION("""COMPUTED_VALUE"""),2824379)</f>
        <v>2824379</v>
      </c>
      <c r="K60" s="138" t="str">
        <f ca="1">IFERROR(__xludf.DUMMYFUNCTION("""COMPUTED_VALUE"""),"Intermediate")</f>
        <v>Intermediate</v>
      </c>
      <c r="L60" s="139" t="str">
        <f ca="1">IFERROR(__xludf.DUMMYFUNCTION("""COMPUTED_VALUE"""),"Fostering Belonging as a Leader")</f>
        <v>Fostering Belonging as a Leader</v>
      </c>
      <c r="M60" s="152"/>
      <c r="N60" s="134"/>
      <c r="O60" s="134"/>
      <c r="P60" s="134"/>
      <c r="Q60" s="138"/>
      <c r="R60" s="138"/>
      <c r="S60" s="151"/>
      <c r="T60" s="152"/>
      <c r="U60" s="134"/>
      <c r="V60" s="134"/>
    </row>
    <row r="61" spans="1:22" ht="33.75" customHeight="1" x14ac:dyDescent="0.15">
      <c r="A61" s="134"/>
      <c r="B61" s="134"/>
      <c r="C61" s="138"/>
      <c r="D61" s="138"/>
      <c r="E61" s="151"/>
      <c r="F61" s="152"/>
      <c r="G61" s="134"/>
      <c r="H61" s="134"/>
      <c r="I61" s="134"/>
      <c r="J61" s="138">
        <f ca="1">IFERROR(__xludf.DUMMYFUNCTION("""COMPUTED_VALUE"""),664802)</f>
        <v>664802</v>
      </c>
      <c r="K61" s="138" t="str">
        <f ca="1">IFERROR(__xludf.DUMMYFUNCTION("""COMPUTED_VALUE"""),"Intermediate")</f>
        <v>Intermediate</v>
      </c>
      <c r="L61" s="139" t="str">
        <f ca="1">IFERROR(__xludf.DUMMYFUNCTION("""COMPUTED_VALUE"""),"Communicating about Culturally Sensitive Issues")</f>
        <v>Communicating about Culturally Sensitive Issues</v>
      </c>
      <c r="M61" s="152"/>
      <c r="N61" s="134"/>
      <c r="O61" s="134"/>
      <c r="P61" s="134"/>
      <c r="Q61" s="138"/>
      <c r="R61" s="138"/>
      <c r="S61" s="151"/>
      <c r="T61" s="152"/>
      <c r="U61" s="134"/>
      <c r="V61" s="134"/>
    </row>
    <row r="62" spans="1:22" ht="33.75" customHeight="1" x14ac:dyDescent="0.15">
      <c r="A62" s="134"/>
      <c r="B62" s="134"/>
      <c r="C62" s="138"/>
      <c r="D62" s="138"/>
      <c r="E62" s="151"/>
      <c r="F62" s="152"/>
      <c r="G62" s="134"/>
      <c r="H62" s="134"/>
      <c r="I62" s="134"/>
      <c r="J62" s="138">
        <f ca="1">IFERROR(__xludf.DUMMYFUNCTION("""COMPUTED_VALUE"""),784280)</f>
        <v>784280</v>
      </c>
      <c r="K62" s="138" t="str">
        <f ca="1">IFERROR(__xludf.DUMMYFUNCTION("""COMPUTED_VALUE"""),"Intermediate")</f>
        <v>Intermediate</v>
      </c>
      <c r="L62" s="139" t="str">
        <f ca="1">IFERROR(__xludf.DUMMYFUNCTION("""COMPUTED_VALUE"""),"Leading Inclusive Teams")</f>
        <v>Leading Inclusive Teams</v>
      </c>
      <c r="M62" s="152"/>
      <c r="N62" s="134"/>
      <c r="O62" s="134"/>
      <c r="P62" s="134"/>
      <c r="Q62" s="138"/>
      <c r="R62" s="138"/>
      <c r="S62" s="151"/>
      <c r="T62" s="152"/>
      <c r="U62" s="134"/>
      <c r="V62" s="134"/>
    </row>
    <row r="63" spans="1:22" ht="33.75" customHeight="1" x14ac:dyDescent="0.15">
      <c r="A63" s="134"/>
      <c r="B63" s="134"/>
      <c r="C63" s="138"/>
      <c r="D63" s="138"/>
      <c r="E63" s="151"/>
      <c r="F63" s="152"/>
      <c r="G63" s="134"/>
      <c r="H63" s="134"/>
      <c r="I63" s="134"/>
      <c r="J63" s="138">
        <f ca="1">IFERROR(__xludf.DUMMYFUNCTION("""COMPUTED_VALUE"""),625917)</f>
        <v>625917</v>
      </c>
      <c r="K63" s="138" t="str">
        <f ca="1">IFERROR(__xludf.DUMMYFUNCTION("""COMPUTED_VALUE"""),"Intermediate")</f>
        <v>Intermediate</v>
      </c>
      <c r="L63" s="139" t="str">
        <f ca="1">IFERROR(__xludf.DUMMYFUNCTION("""COMPUTED_VALUE"""),"Managing a Multigenerational Workforce")</f>
        <v>Managing a Multigenerational Workforce</v>
      </c>
      <c r="M63" s="152"/>
      <c r="N63" s="134"/>
      <c r="O63" s="134"/>
      <c r="P63" s="134"/>
      <c r="Q63" s="138"/>
      <c r="R63" s="138"/>
      <c r="S63" s="151"/>
      <c r="T63" s="152"/>
      <c r="U63" s="134"/>
      <c r="V63" s="134"/>
    </row>
    <row r="64" spans="1:22" ht="33.75" customHeight="1" x14ac:dyDescent="0.15">
      <c r="A64" s="134"/>
      <c r="B64" s="134"/>
      <c r="C64" s="138"/>
      <c r="D64" s="138"/>
      <c r="E64" s="151"/>
      <c r="F64" s="152"/>
      <c r="G64" s="134"/>
      <c r="H64" s="134"/>
      <c r="I64" s="134"/>
      <c r="J64" s="138">
        <f ca="1">IFERROR(__xludf.DUMMYFUNCTION("""COMPUTED_VALUE"""),515183)</f>
        <v>515183</v>
      </c>
      <c r="K64" s="138" t="str">
        <f ca="1">IFERROR(__xludf.DUMMYFUNCTION("""COMPUTED_VALUE"""),"Intermediate")</f>
        <v>Intermediate</v>
      </c>
      <c r="L64" s="139" t="str">
        <f ca="1">IFERROR(__xludf.DUMMYFUNCTION("""COMPUTED_VALUE"""),"Unconscious Bias")</f>
        <v>Unconscious Bias</v>
      </c>
      <c r="M64" s="152"/>
      <c r="N64" s="134"/>
      <c r="O64" s="134"/>
      <c r="P64" s="134"/>
      <c r="Q64" s="138"/>
      <c r="R64" s="138"/>
      <c r="S64" s="151"/>
      <c r="T64" s="152"/>
      <c r="U64" s="134"/>
      <c r="V64" s="134"/>
    </row>
    <row r="65" spans="1:22" ht="33.75" customHeight="1" x14ac:dyDescent="0.15">
      <c r="A65" s="134"/>
      <c r="B65" s="134"/>
      <c r="C65" s="138"/>
      <c r="D65" s="138"/>
      <c r="E65" s="151"/>
      <c r="F65" s="152"/>
      <c r="G65" s="134"/>
      <c r="H65" s="134"/>
      <c r="I65" s="134"/>
      <c r="J65" s="138">
        <f ca="1">IFERROR(__xludf.DUMMYFUNCTION("""COMPUTED_VALUE"""),5022331)</f>
        <v>5022331</v>
      </c>
      <c r="K65" s="138" t="str">
        <f ca="1">IFERROR(__xludf.DUMMYFUNCTION("""COMPUTED_VALUE"""),"Intermediate")</f>
        <v>Intermediate</v>
      </c>
      <c r="L65" s="139" t="str">
        <f ca="1">IFERROR(__xludf.DUMMYFUNCTION("""COMPUTED_VALUE"""),"Collaborative Leadership")</f>
        <v>Collaborative Leadership</v>
      </c>
      <c r="M65" s="152"/>
      <c r="N65" s="134"/>
      <c r="O65" s="134"/>
      <c r="P65" s="134"/>
      <c r="Q65" s="138"/>
      <c r="R65" s="138"/>
      <c r="S65" s="151"/>
      <c r="T65" s="152"/>
      <c r="U65" s="134"/>
      <c r="V65" s="134"/>
    </row>
    <row r="66" spans="1:22" ht="33.75" customHeight="1" x14ac:dyDescent="0.15">
      <c r="A66" s="134"/>
      <c r="B66" s="134"/>
      <c r="C66" s="138"/>
      <c r="D66" s="138"/>
      <c r="E66" s="151"/>
      <c r="F66" s="152"/>
      <c r="G66" s="134"/>
      <c r="H66" s="134"/>
      <c r="I66" s="134"/>
      <c r="J66" s="138">
        <f ca="1">IFERROR(__xludf.DUMMYFUNCTION("""COMPUTED_VALUE"""),800197)</f>
        <v>800197</v>
      </c>
      <c r="K66" s="138" t="str">
        <f ca="1">IFERROR(__xludf.DUMMYFUNCTION("""COMPUTED_VALUE"""),"Intermediate")</f>
        <v>Intermediate</v>
      </c>
      <c r="L66" s="139" t="str">
        <f ca="1">IFERROR(__xludf.DUMMYFUNCTION("""COMPUTED_VALUE"""),"Leadership Strategies for Women")</f>
        <v>Leadership Strategies for Women</v>
      </c>
      <c r="M66" s="152"/>
      <c r="N66" s="134"/>
      <c r="O66" s="134"/>
      <c r="P66" s="134"/>
      <c r="Q66" s="138"/>
      <c r="R66" s="138"/>
      <c r="S66" s="151"/>
      <c r="T66" s="152"/>
      <c r="U66" s="134"/>
      <c r="V66" s="134"/>
    </row>
    <row r="67" spans="1:22" ht="33.75" customHeight="1" x14ac:dyDescent="0.15">
      <c r="A67" s="134"/>
      <c r="B67" s="134"/>
      <c r="C67" s="138"/>
      <c r="D67" s="138"/>
      <c r="E67" s="151"/>
      <c r="F67" s="152"/>
      <c r="G67" s="134"/>
      <c r="H67" s="134"/>
      <c r="I67" s="134"/>
      <c r="J67" s="138">
        <f ca="1">IFERROR(__xludf.DUMMYFUNCTION("""COMPUTED_VALUE"""),797725)</f>
        <v>797725</v>
      </c>
      <c r="K67" s="138" t="str">
        <f ca="1">IFERROR(__xludf.DUMMYFUNCTION("""COMPUTED_VALUE"""),"Intermediate")</f>
        <v>Intermediate</v>
      </c>
      <c r="L67" s="139" t="str">
        <f ca="1">IFERROR(__xludf.DUMMYFUNCTION("""COMPUTED_VALUE"""),"Managing Someone Older Than You")</f>
        <v>Managing Someone Older Than You</v>
      </c>
      <c r="M67" s="152"/>
      <c r="N67" s="134"/>
      <c r="O67" s="134"/>
      <c r="P67" s="134"/>
      <c r="Q67" s="138"/>
      <c r="R67" s="138"/>
      <c r="S67" s="151"/>
      <c r="T67" s="152"/>
      <c r="U67" s="134"/>
      <c r="V67" s="134"/>
    </row>
    <row r="68" spans="1:22" ht="33.75" customHeight="1" x14ac:dyDescent="0.15">
      <c r="A68" s="134"/>
      <c r="B68" s="134"/>
      <c r="C68" s="138"/>
      <c r="D68" s="138"/>
      <c r="E68" s="151"/>
      <c r="F68" s="152"/>
      <c r="G68" s="134"/>
      <c r="H68" s="134"/>
      <c r="I68" s="134"/>
      <c r="J68" s="138">
        <f ca="1">IFERROR(__xludf.DUMMYFUNCTION("""COMPUTED_VALUE"""),5038200)</f>
        <v>5038200</v>
      </c>
      <c r="K68" s="138" t="str">
        <f ca="1">IFERROR(__xludf.DUMMYFUNCTION("""COMPUTED_VALUE"""),"Intermediate")</f>
        <v>Intermediate</v>
      </c>
      <c r="L68" s="139" t="str">
        <f ca="1">IFERROR(__xludf.DUMMYFUNCTION("""COMPUTED_VALUE"""),"Managing Generation Z")</f>
        <v>Managing Generation Z</v>
      </c>
      <c r="M68" s="152"/>
      <c r="N68" s="134"/>
      <c r="O68" s="134"/>
      <c r="P68" s="134"/>
      <c r="Q68" s="138"/>
      <c r="R68" s="138"/>
      <c r="S68" s="151"/>
      <c r="T68" s="152"/>
      <c r="U68" s="134"/>
      <c r="V68" s="134"/>
    </row>
    <row r="69" spans="1:22" ht="33.75" customHeight="1" x14ac:dyDescent="0.15">
      <c r="A69" s="134"/>
      <c r="B69" s="134"/>
      <c r="C69" s="138"/>
      <c r="D69" s="138"/>
      <c r="E69" s="151"/>
      <c r="F69" s="152"/>
      <c r="G69" s="134"/>
      <c r="H69" s="134"/>
      <c r="I69" s="134"/>
      <c r="J69" s="138">
        <f ca="1">IFERROR(__xludf.DUMMYFUNCTION("""COMPUTED_VALUE"""),441831)</f>
        <v>441831</v>
      </c>
      <c r="K69" s="138" t="str">
        <f ca="1">IFERROR(__xludf.DUMMYFUNCTION("""COMPUTED_VALUE"""),"Intermediate")</f>
        <v>Intermediate</v>
      </c>
      <c r="L69" s="139" t="str">
        <f ca="1">IFERROR(__xludf.DUMMYFUNCTION("""COMPUTED_VALUE"""),"Recruiting Veterans")</f>
        <v>Recruiting Veterans</v>
      </c>
      <c r="M69" s="152"/>
      <c r="N69" s="134"/>
      <c r="O69" s="134"/>
      <c r="P69" s="134"/>
      <c r="Q69" s="138"/>
      <c r="R69" s="138"/>
      <c r="S69" s="151"/>
      <c r="T69" s="152"/>
      <c r="U69" s="134"/>
      <c r="V69" s="134"/>
    </row>
    <row r="70" spans="1:22" ht="33.75" customHeight="1" x14ac:dyDescent="0.15">
      <c r="A70" s="134"/>
      <c r="B70" s="134"/>
      <c r="C70" s="138"/>
      <c r="D70" s="138"/>
      <c r="E70" s="151"/>
      <c r="F70" s="152"/>
      <c r="G70" s="134"/>
      <c r="H70" s="134"/>
      <c r="I70" s="134"/>
      <c r="J70" s="138">
        <f ca="1">IFERROR(__xludf.DUMMYFUNCTION("""COMPUTED_VALUE"""),756276)</f>
        <v>756276</v>
      </c>
      <c r="K70" s="138" t="str">
        <f ca="1">IFERROR(__xludf.DUMMYFUNCTION("""COMPUTED_VALUE"""),"Intermediate")</f>
        <v>Intermediate</v>
      </c>
      <c r="L70" s="139" t="str">
        <f ca="1">IFERROR(__xludf.DUMMYFUNCTION("""COMPUTED_VALUE"""),"Social Interactions for Multinational Teams")</f>
        <v>Social Interactions for Multinational Teams</v>
      </c>
      <c r="M70" s="152"/>
      <c r="N70" s="134"/>
      <c r="O70" s="134"/>
      <c r="P70" s="134"/>
      <c r="Q70" s="138"/>
      <c r="R70" s="138"/>
      <c r="S70" s="151"/>
      <c r="T70" s="152"/>
      <c r="U70" s="134"/>
      <c r="V70" s="134"/>
    </row>
    <row r="71" spans="1:22" ht="33.75" customHeight="1" x14ac:dyDescent="0.15">
      <c r="A71" s="134"/>
      <c r="B71" s="134"/>
      <c r="C71" s="138"/>
      <c r="D71" s="138"/>
      <c r="E71" s="151"/>
      <c r="F71" s="152"/>
      <c r="G71" s="134"/>
      <c r="H71" s="134"/>
      <c r="I71" s="134"/>
      <c r="J71" s="138">
        <f ca="1">IFERROR(__xludf.DUMMYFUNCTION("""COMPUTED_VALUE"""),2804657)</f>
        <v>2804657</v>
      </c>
      <c r="K71" s="138" t="str">
        <f ca="1">IFERROR(__xludf.DUMMYFUNCTION("""COMPUTED_VALUE"""),"Intermediate")</f>
        <v>Intermediate</v>
      </c>
      <c r="L71" s="139" t="str">
        <f ca="1">IFERROR(__xludf.DUMMYFUNCTION("""COMPUTED_VALUE"""),"Women Helping Women Succeed in the Workplace")</f>
        <v>Women Helping Women Succeed in the Workplace</v>
      </c>
      <c r="M71" s="152"/>
      <c r="N71" s="134"/>
      <c r="O71" s="134"/>
      <c r="P71" s="134"/>
      <c r="Q71" s="138"/>
      <c r="R71" s="138"/>
      <c r="S71" s="151"/>
      <c r="T71" s="152"/>
      <c r="U71" s="134"/>
      <c r="V71" s="134"/>
    </row>
    <row r="72" spans="1:22" ht="33.75" customHeight="1" x14ac:dyDescent="0.15">
      <c r="A72" s="134"/>
      <c r="B72" s="134"/>
      <c r="C72" s="138"/>
      <c r="D72" s="138"/>
      <c r="E72" s="151"/>
      <c r="F72" s="152"/>
      <c r="G72" s="134"/>
      <c r="H72" s="134"/>
      <c r="I72" s="134"/>
      <c r="J72" s="138">
        <f ca="1">IFERROR(__xludf.DUMMYFUNCTION("""COMPUTED_VALUE"""),2825159)</f>
        <v>2825159</v>
      </c>
      <c r="K72" s="138" t="str">
        <f ca="1">IFERROR(__xludf.DUMMYFUNCTION("""COMPUTED_VALUE"""),"Intermediate")</f>
        <v>Intermediate</v>
      </c>
      <c r="L72" s="139" t="str">
        <f ca="1">IFERROR(__xludf.DUMMYFUNCTION("""COMPUTED_VALUE"""),"Values and Ethics: Case Studies in Action")</f>
        <v>Values and Ethics: Case Studies in Action</v>
      </c>
      <c r="M72" s="152"/>
      <c r="N72" s="134"/>
      <c r="O72" s="134"/>
      <c r="P72" s="134"/>
      <c r="Q72" s="138"/>
      <c r="R72" s="138"/>
      <c r="S72" s="151"/>
      <c r="T72" s="152"/>
      <c r="U72" s="134"/>
      <c r="V72" s="134"/>
    </row>
    <row r="73" spans="1:22" ht="33.75" customHeight="1" x14ac:dyDescent="0.15">
      <c r="A73" s="134"/>
      <c r="B73" s="134"/>
      <c r="C73" s="138"/>
      <c r="D73" s="138"/>
      <c r="E73" s="151"/>
      <c r="F73" s="152"/>
      <c r="G73" s="134"/>
      <c r="H73" s="134"/>
      <c r="I73" s="134"/>
      <c r="J73" s="138">
        <f ca="1">IFERROR(__xludf.DUMMYFUNCTION("""COMPUTED_VALUE"""),2252217)</f>
        <v>2252217</v>
      </c>
      <c r="K73" s="138" t="str">
        <f ca="1">IFERROR(__xludf.DUMMYFUNCTION("""COMPUTED_VALUE"""),"Intermediate")</f>
        <v>Intermediate</v>
      </c>
      <c r="L73" s="153" t="str">
        <f ca="1">IFERROR(__xludf.DUMMYFUNCTION("""COMPUTED_VALUE"""),"Managing Multiple Generations")</f>
        <v>Managing Multiple Generations</v>
      </c>
      <c r="M73" s="152"/>
      <c r="N73" s="134"/>
      <c r="O73" s="134"/>
      <c r="P73" s="134"/>
      <c r="Q73" s="138"/>
      <c r="R73" s="138"/>
      <c r="S73" s="151"/>
      <c r="T73" s="152"/>
      <c r="U73" s="134"/>
      <c r="V73" s="134"/>
    </row>
    <row r="74" spans="1:22" ht="33.75" customHeight="1" x14ac:dyDescent="0.15">
      <c r="A74" s="134"/>
      <c r="B74" s="134"/>
      <c r="C74" s="138"/>
      <c r="D74" s="138"/>
      <c r="E74" s="151"/>
      <c r="F74" s="152"/>
      <c r="G74" s="134"/>
      <c r="H74" s="134"/>
      <c r="I74" s="134"/>
      <c r="J74" s="138">
        <f ca="1">IFERROR(__xludf.DUMMYFUNCTION("""COMPUTED_VALUE"""),2822684)</f>
        <v>2822684</v>
      </c>
      <c r="K74" s="138" t="str">
        <f ca="1">IFERROR(__xludf.DUMMYFUNCTION("""COMPUTED_VALUE"""),"Intermediate")</f>
        <v>Intermediate</v>
      </c>
      <c r="L74" s="153" t="str">
        <f ca="1">IFERROR(__xludf.DUMMYFUNCTION("""COMPUTED_VALUE"""),"Empathy at Work")</f>
        <v>Empathy at Work</v>
      </c>
      <c r="M74" s="152"/>
      <c r="N74" s="134"/>
      <c r="O74" s="134"/>
      <c r="P74" s="134"/>
      <c r="Q74" s="138"/>
      <c r="R74" s="138"/>
      <c r="S74" s="151"/>
      <c r="T74" s="152"/>
      <c r="U74" s="134"/>
      <c r="V74" s="134"/>
    </row>
    <row r="75" spans="1:22" ht="15" x14ac:dyDescent="0.15">
      <c r="A75" s="134"/>
      <c r="B75" s="134"/>
      <c r="C75" s="138"/>
      <c r="D75" s="138"/>
      <c r="E75" s="151"/>
      <c r="F75" s="152"/>
      <c r="G75" s="134"/>
      <c r="H75" s="134"/>
      <c r="I75" s="134"/>
      <c r="J75" s="138">
        <f ca="1">IFERROR(__xludf.DUMMYFUNCTION("""COMPUTED_VALUE"""),656779)</f>
        <v>656779</v>
      </c>
      <c r="K75" s="138" t="str">
        <f ca="1">IFERROR(__xludf.DUMMYFUNCTION("""COMPUTED_VALUE"""),"Intermediate")</f>
        <v>Intermediate</v>
      </c>
      <c r="L75" s="153" t="str">
        <f ca="1">IFERROR(__xludf.DUMMYFUNCTION("""COMPUTED_VALUE"""),"Managing a Diverse Team")</f>
        <v>Managing a Diverse Team</v>
      </c>
      <c r="M75" s="152"/>
      <c r="N75" s="134"/>
      <c r="O75" s="134"/>
      <c r="P75" s="134"/>
      <c r="Q75" s="138"/>
      <c r="R75" s="138"/>
      <c r="S75" s="151"/>
      <c r="T75" s="152"/>
      <c r="U75" s="134"/>
      <c r="V75" s="134"/>
    </row>
    <row r="76" spans="1:22" ht="14" x14ac:dyDescent="0.15">
      <c r="A76" s="134"/>
      <c r="B76" s="134"/>
      <c r="C76" s="138"/>
      <c r="D76" s="138"/>
      <c r="E76" s="151"/>
      <c r="F76" s="152"/>
      <c r="G76" s="134"/>
      <c r="H76" s="134"/>
      <c r="I76" s="134"/>
      <c r="J76" s="138"/>
      <c r="K76" s="138"/>
      <c r="L76" s="151"/>
      <c r="M76" s="152"/>
      <c r="N76" s="134"/>
      <c r="O76" s="134"/>
      <c r="P76" s="134"/>
      <c r="Q76" s="138"/>
      <c r="R76" s="138"/>
      <c r="S76" s="151"/>
      <c r="T76" s="152"/>
      <c r="U76" s="134"/>
      <c r="V76" s="134"/>
    </row>
    <row r="77" spans="1:22" ht="14" x14ac:dyDescent="0.15">
      <c r="A77" s="134"/>
      <c r="B77" s="134"/>
      <c r="C77" s="138"/>
      <c r="D77" s="138"/>
      <c r="E77" s="151"/>
      <c r="F77" s="152"/>
      <c r="G77" s="134"/>
      <c r="H77" s="134"/>
      <c r="I77" s="134"/>
      <c r="J77" s="138"/>
      <c r="K77" s="138"/>
      <c r="L77" s="151"/>
      <c r="M77" s="152"/>
      <c r="N77" s="134"/>
      <c r="O77" s="134"/>
      <c r="P77" s="134"/>
      <c r="Q77" s="138"/>
      <c r="R77" s="138"/>
      <c r="S77" s="151"/>
      <c r="T77" s="152"/>
      <c r="U77" s="134"/>
      <c r="V77" s="134"/>
    </row>
    <row r="78" spans="1:22" ht="14" x14ac:dyDescent="0.15">
      <c r="A78" s="134"/>
      <c r="B78" s="134"/>
      <c r="C78" s="138"/>
      <c r="D78" s="138"/>
      <c r="E78" s="151"/>
      <c r="F78" s="152"/>
      <c r="G78" s="134"/>
      <c r="H78" s="134"/>
      <c r="I78" s="134"/>
      <c r="J78" s="138"/>
      <c r="K78" s="138"/>
      <c r="L78" s="151"/>
      <c r="M78" s="152"/>
      <c r="N78" s="134"/>
      <c r="O78" s="134"/>
      <c r="P78" s="134"/>
      <c r="Q78" s="138"/>
      <c r="R78" s="138"/>
      <c r="S78" s="151"/>
      <c r="T78" s="152"/>
      <c r="U78" s="134"/>
      <c r="V78" s="134"/>
    </row>
    <row r="79" spans="1:22" ht="14" x14ac:dyDescent="0.15">
      <c r="A79" s="134"/>
      <c r="B79" s="134"/>
      <c r="C79" s="138"/>
      <c r="D79" s="138"/>
      <c r="E79" s="151"/>
      <c r="F79" s="152"/>
      <c r="G79" s="134"/>
      <c r="H79" s="134"/>
      <c r="I79" s="134"/>
      <c r="J79" s="138"/>
      <c r="K79" s="138"/>
      <c r="L79" s="151"/>
      <c r="M79" s="152"/>
      <c r="N79" s="134"/>
      <c r="O79" s="134"/>
      <c r="P79" s="134"/>
      <c r="Q79" s="138"/>
      <c r="R79" s="138"/>
      <c r="S79" s="151"/>
      <c r="T79" s="152"/>
      <c r="U79" s="134"/>
      <c r="V79" s="134"/>
    </row>
    <row r="80" spans="1:22" ht="14" x14ac:dyDescent="0.15">
      <c r="A80" s="134"/>
      <c r="B80" s="134"/>
      <c r="C80" s="138"/>
      <c r="D80" s="138"/>
      <c r="E80" s="151"/>
      <c r="F80" s="152"/>
      <c r="G80" s="134"/>
      <c r="H80" s="134"/>
      <c r="I80" s="134"/>
      <c r="J80" s="138"/>
      <c r="K80" s="138"/>
      <c r="L80" s="151"/>
      <c r="M80" s="152"/>
      <c r="N80" s="134"/>
      <c r="O80" s="134"/>
      <c r="P80" s="134"/>
      <c r="Q80" s="138"/>
      <c r="R80" s="138"/>
      <c r="S80" s="151"/>
      <c r="T80" s="152"/>
      <c r="U80" s="134"/>
      <c r="V80" s="134"/>
    </row>
  </sheetData>
  <mergeCells count="9">
    <mergeCell ref="Q2:T2"/>
    <mergeCell ref="Q3:T3"/>
    <mergeCell ref="C1:F1"/>
    <mergeCell ref="J1:M1"/>
    <mergeCell ref="Q1:T1"/>
    <mergeCell ref="C2:F2"/>
    <mergeCell ref="J2:M2"/>
    <mergeCell ref="C3:F3"/>
    <mergeCell ref="J3:M3"/>
  </mergeCells>
  <hyperlinks>
    <hyperlink ref="E5" r:id="rId1" display="https://www.linkedin.com/learning/creating-a-high-performance-culture/components-of-high-performing-cultures" xr:uid="{00000000-0004-0000-0C00-000000000000}"/>
    <hyperlink ref="F5" r:id="rId2" display="https://www.linkedin.com/learning/paths/recruit-and-maximize-talent" xr:uid="{00000000-0004-0000-0C00-000001000000}"/>
    <hyperlink ref="L5" r:id="rId3" display="https://www.linkedin.com/learning/global-strategy" xr:uid="{00000000-0004-0000-0C00-000002000000}"/>
    <hyperlink ref="M5" r:id="rId4" display="https://www.linkedin.com/learning/paths/become-an-inclusive-leader" xr:uid="{00000000-0004-0000-0C00-000003000000}"/>
    <hyperlink ref="S5" r:id="rId5" display="https://www.linkedin.com/learning/advanced-grammar" xr:uid="{00000000-0004-0000-0C00-000004000000}"/>
    <hyperlink ref="T5" r:id="rId6" display="https://www.linkedin.com/learning/paths/develop-your-writing-skills" xr:uid="{00000000-0004-0000-0C00-000005000000}"/>
    <hyperlink ref="E6" r:id="rId7" display="https://www.linkedin.com/learning/creating-a-positive-and-healthy-work-environment/welcome" xr:uid="{00000000-0004-0000-0C00-000006000000}"/>
    <hyperlink ref="F6" r:id="rId8" display="https://www.linkedin.com/learning/paths/advance-your-skills-as-a-manager" xr:uid="{00000000-0004-0000-0C00-000007000000}"/>
    <hyperlink ref="L6" r:id="rId9" display="https://www.linkedin.com/learning/inclusive-leadership" xr:uid="{00000000-0004-0000-0C00-000008000000}"/>
    <hyperlink ref="M6" r:id="rId10" display="https://www.linkedin.com/learning/paths/diversity-inclusion-and-belonging-for-leaders-and-managers" xr:uid="{00000000-0004-0000-0C00-000009000000}"/>
    <hyperlink ref="S6" r:id="rId11" display="https://www.linkedin.com/learning/editing-mastery-how-to-edit-writing-to-perfection" xr:uid="{00000000-0004-0000-0C00-00000A000000}"/>
    <hyperlink ref="T6" r:id="rId12" display="https://www.linkedin.com/learning/paths/become-a-content-strategist-7" xr:uid="{00000000-0004-0000-0C00-00000B000000}"/>
    <hyperlink ref="E7" r:id="rId13" display="https://www.linkedin.com/learning/getting-your-talent-to-bring-their-best-ideas-to-work" xr:uid="{00000000-0004-0000-0C00-00000C000000}"/>
    <hyperlink ref="F7" r:id="rId14" display="https://www.linkedin.com/learning/paths/improve-your-coaching-skills-as-a-manager" xr:uid="{00000000-0004-0000-0C00-00000D000000}"/>
    <hyperlink ref="L7" r:id="rId15" display="https://www.linkedin.com/learning/leading-globally" xr:uid="{00000000-0004-0000-0C00-00000E000000}"/>
    <hyperlink ref="M7" r:id="rId16" display="https://www.linkedin.com/learning/paths/diversity-inclusion-and-belonging-for-all" xr:uid="{00000000-0004-0000-0C00-00000F000000}"/>
    <hyperlink ref="S7" r:id="rId17" display="https://www.linkedin.com/learning/learning-to-write-for-the-web" xr:uid="{00000000-0004-0000-0C00-000010000000}"/>
    <hyperlink ref="E8" r:id="rId18" display="https://www.linkedin.com/learning/foundations-of-performance-management-with-nigel-cumberland" xr:uid="{00000000-0004-0000-0C00-000011000000}"/>
    <hyperlink ref="F8" r:id="rId19" display="https://www.linkedin.com/learning/paths/managing-performance" xr:uid="{00000000-0004-0000-0C00-000012000000}"/>
    <hyperlink ref="L8" r:id="rId20" display="https://www.linkedin.com/learning/leveraging-neuroscience-for-business-impact" xr:uid="{00000000-0004-0000-0C00-000013000000}"/>
    <hyperlink ref="M8" r:id="rId21" display="https://www.linkedin.com/learning/paths/women-transforming-tech-navigating-your-career" xr:uid="{00000000-0004-0000-0C00-000014000000}"/>
    <hyperlink ref="S8" r:id="rId22" display="https://www.linkedin.com/learning/learning-to-write-for-the-web" xr:uid="{00000000-0004-0000-0C00-000015000000}"/>
    <hyperlink ref="E9" r:id="rId23" display="https://www.linkedin.com/learning/boosting-your-team-s-productivity" xr:uid="{00000000-0004-0000-0C00-000016000000}"/>
    <hyperlink ref="F9" r:id="rId24" display="https://www.linkedin.com/learning/paths/finding-and-retaining-talent" xr:uid="{00000000-0004-0000-0C00-000017000000}"/>
    <hyperlink ref="L9" r:id="rId25" display="https://www.linkedin.com/learning/out-and-proud-approaching-lgbt-issues-in-the-workplace" xr:uid="{00000000-0004-0000-0C00-000018000000}"/>
    <hyperlink ref="M9" r:id="rId26" display="https://www.linkedin.com/learning/paths/become-a-thought-leader" xr:uid="{00000000-0004-0000-0C00-000019000000}"/>
    <hyperlink ref="S9" r:id="rId27" display="https://www.linkedin.com/learning/note-taking-for-business-professionals" xr:uid="{00000000-0004-0000-0C00-00001A000000}"/>
    <hyperlink ref="E10" r:id="rId28" display="https://www.linkedin.com/learning/delegating-tasks" xr:uid="{00000000-0004-0000-0C00-00001B000000}"/>
    <hyperlink ref="F10" r:id="rId29" display="https://www.linkedin.com/learning/paths/become-an-inclusive-leader" xr:uid="{00000000-0004-0000-0C00-00001C000000}"/>
    <hyperlink ref="L10" r:id="rId30" display="https://www.linkedin.com/learning/confronting-racism-with-robin-diangelo" xr:uid="{00000000-0004-0000-0C00-00001D000000}"/>
    <hyperlink ref="M10" r:id="rId31" display="https://www.linkedin.com/learning/paths/transition-from-military-to-civilian-employment" xr:uid="{00000000-0004-0000-0C00-00001E000000}"/>
    <hyperlink ref="S10" r:id="rId32" display="https://www.linkedin.com/learning/technical-writing-reports" xr:uid="{00000000-0004-0000-0C00-00001F000000}"/>
    <hyperlink ref="E11" r:id="rId33" display="https://www.linkedin.com/learning/managing-experts" xr:uid="{00000000-0004-0000-0C00-000020000000}"/>
    <hyperlink ref="F11" r:id="rId34" display="https://www.linkedin.com/learning/paths/become-an-hr-business-partner" xr:uid="{00000000-0004-0000-0C00-000021000000}"/>
    <hyperlink ref="L11" r:id="rId35" display="https://www.linkedin.com/learning/inclusive-instructional-design/design-inclusive-learning-experiences?" xr:uid="{00000000-0004-0000-0C00-000022000000}"/>
    <hyperlink ref="M11" r:id="rId36" display="https://www.linkedin.com/learning/paths/transition-from-military-to-student-life?" xr:uid="{00000000-0004-0000-0C00-000023000000}"/>
    <hyperlink ref="S11" r:id="rId37" display="https://www.linkedin.com/learning/writing-a-research-paper" xr:uid="{00000000-0004-0000-0C00-000024000000}"/>
    <hyperlink ref="E12" r:id="rId38" display="https://www.linkedin.com/learning/managing-high-performers" xr:uid="{00000000-0004-0000-0C00-000025000000}"/>
    <hyperlink ref="F12" r:id="rId39" display="https://www.linkedin.com/learning/paths/become-a-senior-manager" xr:uid="{00000000-0004-0000-0C00-000026000000}"/>
    <hyperlink ref="L12" r:id="rId40" display="https://www.linkedin.com/learning/communicating-across-cultures-2" xr:uid="{00000000-0004-0000-0C00-000027000000}"/>
    <hyperlink ref="M12" r:id="rId41" display="https://www.linkedin.com/learning/paths/women-in-leadership-3" xr:uid="{00000000-0004-0000-0C00-000028000000}"/>
    <hyperlink ref="S12" r:id="rId42" display="https://www.linkedin.com/learning/writing-case-studies" xr:uid="{00000000-0004-0000-0C00-000029000000}"/>
    <hyperlink ref="E13" r:id="rId43" display="https://www.linkedin.com/learning/managing-high-potentials" xr:uid="{00000000-0004-0000-0C00-00002A000000}"/>
    <hyperlink ref="L13" r:id="rId44" display="https://www.linkedin.com/learning/confronting-bias-thriving-across-our-differences" xr:uid="{00000000-0004-0000-0C00-00002B000000}"/>
    <hyperlink ref="M13" r:id="rId45" display="https://www.linkedin.com/learning/paths/stay-ahead-in-all-things-dibs" xr:uid="{00000000-0004-0000-0C00-00002C000000}"/>
    <hyperlink ref="S13" r:id="rId46" display="https://www.linkedin.com/learning/writing-white-papers" xr:uid="{00000000-0004-0000-0C00-00002D000000}"/>
    <hyperlink ref="E14" r:id="rId47" display="https://www.linkedin.com/learning/performance-management-conducting-performance-reviews" xr:uid="{00000000-0004-0000-0C00-00002E000000}"/>
    <hyperlink ref="L14" r:id="rId48" display="https://www.linkedin.com/learning/creating-change-diversity-and-inclusion-in-the-tech-industry" xr:uid="{00000000-0004-0000-0C00-00002F000000}"/>
    <hyperlink ref="M14" r:id="rId49" display="https://www.linkedin.com/learning/paths/improve-your-coaching-skills-as-a-manager" xr:uid="{00000000-0004-0000-0C00-000030000000}"/>
    <hyperlink ref="S14" r:id="rId50" display="https://www.linkedin.com/learning/writing-your-company-overview" xr:uid="{00000000-0004-0000-0C00-000031000000}"/>
    <hyperlink ref="E15" r:id="rId51" display="https://www.linkedin.com/learning/performance-management-setting-goals-and-managing-performance" xr:uid="{00000000-0004-0000-0C00-000032000000}"/>
    <hyperlink ref="L15" r:id="rId52" display="https://www.linkedin.com/learning/developing-cross-cultural-intelligence" xr:uid="{00000000-0004-0000-0C00-000033000000}"/>
    <hyperlink ref="S15" r:id="rId53" display="https://www.linkedin.com/learning/grammar-girl-s-quick-and-dirty-tips-for-better-writing" xr:uid="{00000000-0004-0000-0C00-000034000000}"/>
    <hyperlink ref="E16" r:id="rId54" display="https://www.linkedin.com/learning/setting-team-and-employee-goals" xr:uid="{00000000-0004-0000-0C00-000035000000}"/>
    <hyperlink ref="L16" r:id="rId55" display="https://www.linkedin.com/learning/diversity-and-inclusion-in-a-global-enterprise" xr:uid="{00000000-0004-0000-0C00-000036000000}"/>
    <hyperlink ref="S16" r:id="rId56" display="https://www.linkedin.com/learning/tips-for-better-business-writing" xr:uid="{00000000-0004-0000-0C00-000037000000}"/>
    <hyperlink ref="E17" r:id="rId57" display="https://www.linkedin.com/learning/talent-management" xr:uid="{00000000-0004-0000-0C00-000038000000}"/>
    <hyperlink ref="L17" r:id="rId58" display="https://www.linkedin.com/learning/diversity-inclusion-and-belonging-2/dibs-an-introduction" xr:uid="{00000000-0004-0000-0C00-000039000000}"/>
    <hyperlink ref="S17" r:id="rId59" display="https://www.linkedin.com/learning/writing-a-marketing-plan-2020" xr:uid="{00000000-0004-0000-0C00-00003A000000}"/>
    <hyperlink ref="E18" r:id="rId60" display="https://www.linkedin.com/learning/empathy-tips-for-hr-professionals" xr:uid="{00000000-0004-0000-0C00-00003B000000}"/>
    <hyperlink ref="L18" r:id="rId61" display="https://www.linkedin.com/learning/diversity-the-best-resource-for-achieving-business-goals" xr:uid="{00000000-0004-0000-0C00-00003C000000}"/>
    <hyperlink ref="S18" r:id="rId62" display="https://www.linkedin.com/learning/how-to-become-a-purpose-driven-journalist" xr:uid="{00000000-0004-0000-0C00-00003D000000}"/>
    <hyperlink ref="E19" r:id="rId63" display="https://www.linkedin.com/learning/hiring-an-employee-for-managers-2019" xr:uid="{00000000-0004-0000-0C00-00003E000000}"/>
    <hyperlink ref="L19" r:id="rId64" display="https://www.linkedin.com/learning/teaching-civility-in-the-workplace" xr:uid="{00000000-0004-0000-0C00-00003F000000}"/>
    <hyperlink ref="S19" r:id="rId65" display="https://www.linkedin.com/learning/technical-writing-quick-start-guides" xr:uid="{00000000-0004-0000-0C00-000040000000}"/>
    <hyperlink ref="E20" r:id="rId66" display="https://www.linkedin.com/learning/coaching-and-developing-employees-4" xr:uid="{00000000-0004-0000-0C00-000041000000}"/>
    <hyperlink ref="L20" r:id="rId67" display="https://www.linkedin.com/learning/women-transforming-tech-voices-from-the-field" xr:uid="{00000000-0004-0000-0C00-000042000000}"/>
    <hyperlink ref="S20" r:id="rId68" display="https://www.linkedin.com/learning/writing-a-business-report" xr:uid="{00000000-0004-0000-0C00-000043000000}"/>
    <hyperlink ref="E21" r:id="rId69" display="https://www.linkedin.com/learning/improving-employee-performance" xr:uid="{00000000-0004-0000-0C00-000044000000}"/>
    <hyperlink ref="L21" r:id="rId70" display="https://www.linkedin.com/learning/women-transforming-tech-negotiation" xr:uid="{00000000-0004-0000-0C00-000045000000}"/>
    <hyperlink ref="S21" r:id="rId71" display="https://www.linkedin.com/learning/writing-a-proposal" xr:uid="{00000000-0004-0000-0C00-000046000000}"/>
    <hyperlink ref="E22" r:id="rId72" display="https://www.linkedin.com/learning/managing-virtual-teams-4/managing-people-at-a-distance" xr:uid="{00000000-0004-0000-0C00-000047000000}"/>
    <hyperlink ref="L22" r:id="rId73" display="https://www.linkedin.com/learning/teaching-with-linkedin-learning" xr:uid="{00000000-0004-0000-0C00-000048000000}"/>
    <hyperlink ref="S22" r:id="rId74" display="https://www.linkedin.com/learning/writing-articles-2020" xr:uid="{00000000-0004-0000-0C00-000049000000}"/>
    <hyperlink ref="E23" r:id="rId75" display="https://www.linkedin.com/learning/motivating-and-engaging-employees-2" xr:uid="{00000000-0004-0000-0C00-00004A000000}"/>
    <hyperlink ref="L23" r:id="rId76" display="https://www.linkedin.com/learning/marketing-to-diverse-audiences/you-know-less-than-you-think?" xr:uid="{00000000-0004-0000-0C00-00004B000000}"/>
    <hyperlink ref="S23" r:id="rId77" display="https://www.linkedin.com/learning/writing-a-tech-resume" xr:uid="{00000000-0004-0000-0C00-00004C000000}"/>
    <hyperlink ref="E24" r:id="rId78" display="https://www.linkedin.com/learning/rewarding-employee-performance" xr:uid="{00000000-0004-0000-0C00-00004D000000}"/>
    <hyperlink ref="L24" r:id="rId79" display="https://www.linkedin.com/learning/overcoming-imposter-syndrome/the-reality-of-imposter-syndrome?" xr:uid="{00000000-0004-0000-0C00-00004E000000}"/>
    <hyperlink ref="S24" r:id="rId80" display="https://www.linkedin.com/learning/writing-in-plain-language" xr:uid="{00000000-0004-0000-0C00-00004F000000}"/>
    <hyperlink ref="E25" r:id="rId81" display="https://www.linkedin.com/learning/leading-professionals-power-politics-and-prima-donnas-getabstract-summary" xr:uid="{00000000-0004-0000-0C00-000050000000}"/>
    <hyperlink ref="L25" r:id="rId82" display="https://www.linkedin.com/learning/proven-success-strategies-for-women-at-work/welcome" xr:uid="{00000000-0004-0000-0C00-000051000000}"/>
    <hyperlink ref="S25" r:id="rId83" display="https://www.linkedin.com/learning/business-writing-principles" xr:uid="{00000000-0004-0000-0C00-000052000000}"/>
    <hyperlink ref="E26" r:id="rId84" display="https://www.linkedin.com/learning/using-feedback-to-drive-performance" xr:uid="{00000000-0004-0000-0C00-000053000000}"/>
    <hyperlink ref="L26" r:id="rId85" display="https://www.linkedin.com/learning/women-transforming-tech-building-your-brand/build-your-story" xr:uid="{00000000-0004-0000-0C00-000054000000}"/>
    <hyperlink ref="S26" r:id="rId86" display="https://www.linkedin.com/learning/business-writing-strategies" xr:uid="{00000000-0004-0000-0C00-000055000000}"/>
    <hyperlink ref="E27" r:id="rId87" display="https://www.linkedin.com/learning/managing-for-results-2020,https:/www.linkedin.com/learning/managing-for-results-4" xr:uid="{00000000-0004-0000-0C00-000056000000}"/>
    <hyperlink ref="L27" r:id="rId88" display="https://www.linkedin.com/learning/women-transforming-tech-finding-sponsors/the-difference-between-sponsors-and-mentors" xr:uid="{00000000-0004-0000-0C00-000057000000}"/>
    <hyperlink ref="S27" r:id="rId89" display="https://www.linkedin.com/learning/editing-and-proofreading-made-simple/welcome" xr:uid="{00000000-0004-0000-0C00-000058000000}"/>
    <hyperlink ref="E28" r:id="rId90" display="https://www.linkedin.com/learning/building-a-coaching-culture-improving-performance-through-timely-feedback/respectful-candor" xr:uid="{00000000-0004-0000-0C00-000059000000}"/>
    <hyperlink ref="L28" r:id="rId91" display="https://www.linkedin.com/learning/women-transforming-tech-getting-strategic-with-your-career/take-charge-of-your-career" xr:uid="{00000000-0004-0000-0C00-00005A000000}"/>
    <hyperlink ref="S28" r:id="rId92" display="https://www.linkedin.com/learning/productivity-hacks-for-writers" xr:uid="{00000000-0004-0000-0C00-00005B000000}"/>
    <hyperlink ref="E29" r:id="rId93" display="https://www.linkedin.com/learning/coaching-employees-through-difficult-situations" xr:uid="{00000000-0004-0000-0C00-00005C000000}"/>
    <hyperlink ref="L29" r:id="rId94" display="https://www.linkedin.com/learning/women-transforming-tech-networking/how-to-think-about-networking" xr:uid="{00000000-0004-0000-0C00-00005D000000}"/>
    <hyperlink ref="S29" r:id="rId95" display="https://www.linkedin.com/learning/writing-a-business-case" xr:uid="{00000000-0004-0000-0C00-00005E000000}"/>
    <hyperlink ref="E30" r:id="rId96" display="https://www.linkedin.com/learning/coaching-for-results" xr:uid="{00000000-0004-0000-0C00-00005F000000}"/>
    <hyperlink ref="L30" r:id="rId97" display="https://www.linkedin.com/learning/finding-and-doing-the-one-thing" xr:uid="{00000000-0004-0000-0C00-000060000000}"/>
    <hyperlink ref="S30" r:id="rId98" display="https://www.linkedin.com/learning/writing-a-compelling-blog-post" xr:uid="{00000000-0004-0000-0C00-000061000000}"/>
    <hyperlink ref="E31" r:id="rId99" display="https://www.linkedin.com/learning/driving-workplace-happiness" xr:uid="{00000000-0004-0000-0C00-000062000000}"/>
    <hyperlink ref="L31" r:id="rId100" display="https://www.linkedin.com/learning/connecting-with-your-millennial-manager" xr:uid="{00000000-0004-0000-0C00-000063000000}"/>
    <hyperlink ref="S31" r:id="rId101" display="https://www.linkedin.com/learning/writing-email" xr:uid="{00000000-0004-0000-0C00-000064000000}"/>
    <hyperlink ref="E32" r:id="rId102" display="https://www.linkedin.com/learning/employee-experience" xr:uid="{00000000-0004-0000-0C00-000065000000}"/>
    <hyperlink ref="L32" r:id="rId103" display="https://www.linkedin.com/learning/inclusion-during-difficult-times" xr:uid="{00000000-0004-0000-0C00-000066000000}"/>
    <hyperlink ref="S32" r:id="rId104" display="https://www.linkedin.com/learning/writing-formal-business-letters-and-emails" xr:uid="{00000000-0004-0000-0C00-000067000000}"/>
    <hyperlink ref="E33" r:id="rId105" display="https://www.linkedin.com/learning/managing-employee-performance-problems-3" xr:uid="{00000000-0004-0000-0C00-000068000000}"/>
    <hyperlink ref="L33" r:id="rId106" display="https://www.linkedin.com/learning/own-it-the-power-of-women-at-work" xr:uid="{00000000-0004-0000-0C00-000069000000}"/>
    <hyperlink ref="S33" r:id="rId107" display="https://www.linkedin.com/learning/writing-in-plain-english" xr:uid="{00000000-0004-0000-0C00-00006A000000}"/>
    <hyperlink ref="E34" r:id="rId108" display="https://www.linkedin.com/learning/measuring-team-performance" xr:uid="{00000000-0004-0000-0C00-00006B000000}"/>
    <hyperlink ref="L34" r:id="rId109" display="https://www.linkedin.com/learning/inclusive-mindset-for-committed-allies" xr:uid="{00000000-0004-0000-0C00-00006C000000}"/>
    <hyperlink ref="S34" r:id="rId110" display="https://www.linkedin.com/learning/writing-recommendations" xr:uid="{00000000-0004-0000-0C00-00006D000000}"/>
    <hyperlink ref="E35" r:id="rId111" display="https://www.linkedin.com/learning/interviewing-techniques-2019" xr:uid="{00000000-0004-0000-0C00-00006E000000}"/>
    <hyperlink ref="S35" r:id="rId112" display="https://www.linkedin.com/learning/writing-speeches" xr:uid="{00000000-0004-0000-0C00-00006F000000}"/>
    <hyperlink ref="E36" r:id="rId113" display="https://www.linkedin.com/learning/predictive-analytics-essential-training-for-executives" xr:uid="{00000000-0004-0000-0C00-000070000000}"/>
    <hyperlink ref="L36" r:id="rId114" display="https://www.linkedin.com/learning/empathy-in-business-design-for-success,https:/www.linkedin.com/learning/empathy-in-design" xr:uid="{00000000-0004-0000-0C00-000071000000}"/>
    <hyperlink ref="S36" r:id="rId115" display="https://www.linkedin.com/learning/writing-under-a-deadline" xr:uid="{00000000-0004-0000-0C00-000072000000}"/>
    <hyperlink ref="E37" r:id="rId116" display="https://www.linkedin.com/learning/rolling-out-a-dibs-training-program-in-your-company" xr:uid="{00000000-0004-0000-0C00-000073000000}"/>
    <hyperlink ref="L37" r:id="rId117" display="https://www.linkedin.com/learning/the-power-of-introverts" xr:uid="{00000000-0004-0000-0C00-000074000000}"/>
    <hyperlink ref="S37" r:id="rId118" display="https://www.linkedin.com/learning/writing-with-flair-how-to-become-an-exceptional-writer" xr:uid="{00000000-0004-0000-0C00-000075000000}"/>
    <hyperlink ref="E38" r:id="rId119" display="https://www.linkedin.com/learning/jeff-weiner-on-establishing-a-culture-and-a-plan-for-scaling" xr:uid="{00000000-0004-0000-0C00-000076000000}"/>
    <hyperlink ref="L38" r:id="rId120" display="https://www.linkedin.com/learning/the-science-of-compassion-getting-started" xr:uid="{00000000-0004-0000-0C00-000077000000}"/>
    <hyperlink ref="S38" r:id="rId121" display="https://www.linkedin.com/learning/writing-with-impact" xr:uid="{00000000-0004-0000-0C00-000078000000}"/>
    <hyperlink ref="L39" r:id="rId122" display="https://www.linkedin.com/learning/the-science-of-compassion-the-upward-spiral-of-compassion" xr:uid="{00000000-0004-0000-0C00-000079000000}"/>
    <hyperlink ref="S39" r:id="rId123" display="https://www.linkedin.com/learning/writing-the-craft-of-story" xr:uid="{00000000-0004-0000-0C00-00007A000000}"/>
    <hyperlink ref="L40" r:id="rId124" display="https://www.linkedin.com/learning/new-manager-foundations-2" xr:uid="{00000000-0004-0000-0C00-00007B000000}"/>
    <hyperlink ref="S40" r:id="rId125" display="https://www.linkedin.com/learning/conquering-writer-s-block" xr:uid="{00000000-0004-0000-0C00-00007C000000}"/>
    <hyperlink ref="L41" r:id="rId126" display="https://www.linkedin.com/learning/multinational-communication-in-the-workplace" xr:uid="{00000000-0004-0000-0C00-00007D000000}"/>
    <hyperlink ref="S41" r:id="rId127" display="https://www.linkedin.com/learning/running-a-design-business-writing-and-pricing-winning-proposals" xr:uid="{00000000-0004-0000-0C00-00007E000000}"/>
    <hyperlink ref="L42" r:id="rId128" display="https://www.linkedin.com/learning/how-to-be-a-good-mentee-and-mentor" xr:uid="{00000000-0004-0000-0C00-00007F000000}"/>
    <hyperlink ref="S42" r:id="rId129" display="https://www.linkedin.com/learning/quick-tips-for-writing-business-emails" xr:uid="{00000000-0004-0000-0C00-000080000000}"/>
    <hyperlink ref="L43" r:id="rId130" display="https://www.linkedin.com/learning/preparing-to-lead-developing-mental-toughness-in-yourself" xr:uid="{00000000-0004-0000-0C00-000081000000}"/>
    <hyperlink ref="S43" r:id="rId131" display="https://www.linkedin.com/learning/ninja-writing-the-four-levels-of-writing-mastery" xr:uid="{00000000-0004-0000-0C00-000082000000}"/>
    <hyperlink ref="L44" r:id="rId132" display="https://www.linkedin.com/learning/becoming-a-male-ally-at-work" xr:uid="{00000000-0004-0000-0C00-000083000000}"/>
    <hyperlink ref="S44" r:id="rId133" display="https://www.linkedin.com/learning/writing-headlines" xr:uid="{00000000-0004-0000-0C00-000084000000}"/>
    <hyperlink ref="L45" r:id="rId134" display="https://www.linkedin.com/learning/developing-a-diversity-inclusion-and-belonging-program/why-dibs-diversity-inclusion-and-belonging-is-important" xr:uid="{00000000-0004-0000-0C00-000085000000}"/>
    <hyperlink ref="L46" r:id="rId135" display="https://www.linkedin.com/learning/john-maeda-on-design-business-and-inclusion" xr:uid="{00000000-0004-0000-0C00-000086000000}"/>
    <hyperlink ref="L47" r:id="rId136" display="https://www.linkedin.com/learning/shane-snow-on-dream-teams" xr:uid="{00000000-0004-0000-0C00-000087000000}"/>
    <hyperlink ref="L48" r:id="rId137" display="https://www.linkedin.com/learning/speaking-up-at-work" xr:uid="{00000000-0004-0000-0C00-000088000000}"/>
    <hyperlink ref="L49" r:id="rId138" display="https://www.linkedin.com/learning/bystander-training-from-bystander-to-upstander" xr:uid="{00000000-0004-0000-0C00-000089000000}"/>
    <hyperlink ref="L50" r:id="rId139" display="https://www.linkedin.com/learning/cultivating-cultural-competence-and-inclusion" xr:uid="{00000000-0004-0000-0C00-00008A000000}"/>
    <hyperlink ref="L51" r:id="rId140" display="https://www.linkedin.com/learning/fighting-gender-bias-at-work" xr:uid="{00000000-0004-0000-0C00-00008B000000}"/>
    <hyperlink ref="L52" r:id="rId141" display="https://www.linkedin.com/learning/preventing-harassment-in-the-workplace" xr:uid="{00000000-0004-0000-0C00-00008C000000}"/>
    <hyperlink ref="L53" r:id="rId142" display="https://www.linkedin.com/learning/skills-for-inclusive-conversations" xr:uid="{00000000-0004-0000-0C00-00008D000000}"/>
    <hyperlink ref="L54" r:id="rId143" display="https://www.linkedin.com/learning/leadership-in-tech" xr:uid="{00000000-0004-0000-0C00-00008E000000}"/>
    <hyperlink ref="L55" r:id="rId144" display="https://www.linkedin.com/learning/supporting-the-whole-self-at-work-a-diversity-and-inclusion-imperative" xr:uid="{00000000-0004-0000-0C00-00008F000000}"/>
    <hyperlink ref="L56" r:id="rId145" display="https://www.linkedin.com/learning/awakening-compassion-at-work-blinkist-summary" xr:uid="{00000000-0004-0000-0C00-000090000000}"/>
    <hyperlink ref="L57" r:id="rId146" display="https://www.linkedin.com/learning/driving-change-and-anti-racism" xr:uid="{00000000-0004-0000-0C00-000091000000}"/>
    <hyperlink ref="L58" r:id="rId147" display="https://www.linkedin.com/learning/difficult-conversations-talking-about-race-at-work" xr:uid="{00000000-0004-0000-0C00-000092000000}"/>
    <hyperlink ref="L59" r:id="rId148" display="https://www.linkedin.com/learning/creating-a-connection-culture,https:/www.linkedin.com/learning/creating-a-culture-of-connection" xr:uid="{00000000-0004-0000-0C00-000093000000}"/>
    <hyperlink ref="L60" r:id="rId149" display="https://www.linkedin.com/learning/fostering-belonging-as-a-leader" xr:uid="{00000000-0004-0000-0C00-000094000000}"/>
    <hyperlink ref="L61" r:id="rId150" display="https://www.linkedin.com/learning/communicating-about-culturally-sensitive-issues" xr:uid="{00000000-0004-0000-0C00-000095000000}"/>
    <hyperlink ref="L62" r:id="rId151" display="https://www.linkedin.com/learning/leading-inclusive-teams" xr:uid="{00000000-0004-0000-0C00-000096000000}"/>
    <hyperlink ref="L63" r:id="rId152" display="https://www.linkedin.com/learning/managing-a-multigenerational-workforce" xr:uid="{00000000-0004-0000-0C00-000097000000}"/>
    <hyperlink ref="L64" r:id="rId153" display="https://www.linkedin.com/learning/unconscious-bias" xr:uid="{00000000-0004-0000-0C00-000098000000}"/>
    <hyperlink ref="L65" r:id="rId154" display="https://www.linkedin.com/learning/collaborative-leadership" xr:uid="{00000000-0004-0000-0C00-000099000000}"/>
    <hyperlink ref="L66" r:id="rId155" display="https://www.linkedin.com/learning/leadership-strategies-for-women/women-lead-differently?" xr:uid="{00000000-0004-0000-0C00-00009A000000}"/>
    <hyperlink ref="L67" r:id="rId156" display="https://www.linkedin.com/learning/managing-someone-older-than-you/successfully-manage-an-older-report" xr:uid="{00000000-0004-0000-0C00-00009B000000}"/>
    <hyperlink ref="L68" r:id="rId157" display="https://www.linkedin.com/learning/managing-generation-z/gen-z-unlike-any-you-ve-managed?" xr:uid="{00000000-0004-0000-0C00-00009C000000}"/>
    <hyperlink ref="L69" r:id="rId158" display="https://www.linkedin.com/learning/recruiting-veterans/welcome" xr:uid="{00000000-0004-0000-0C00-00009D000000}"/>
    <hyperlink ref="L70" r:id="rId159" display="https://www.linkedin.com/learning/social-interactions-for-multinational-teams/communication-mistakes-around-the-world?" xr:uid="{00000000-0004-0000-0C00-00009E000000}"/>
    <hyperlink ref="L71" r:id="rId160" display="https://www.linkedin.com/learning/women-helping-women-succeed-in-the-workplace/sallie-krawcheck-plant-the-seeds-to-secure-your-financial-future" xr:uid="{00000000-0004-0000-0C00-00009F000000}"/>
    <hyperlink ref="L72" r:id="rId161" display="https://www.linkedin.com/learning/values-and-ethics-case-studies-in-action" xr:uid="{00000000-0004-0000-0C00-0000A0000000}"/>
    <hyperlink ref="L73" r:id="rId162" display="https://www.linkedin.com/learning/managing-multiple-generations-2020" xr:uid="{00000000-0004-0000-0C00-0000A1000000}"/>
    <hyperlink ref="L74" r:id="rId163" display="https://www.linkedin.com/learning/empathy-at-work" xr:uid="{00000000-0004-0000-0C00-0000A2000000}"/>
    <hyperlink ref="L75" r:id="rId164" display="https://www.linkedin.com/learning/managing-a-diverse-team" xr:uid="{00000000-0004-0000-0C00-0000A3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xr:uid="{00000000-0002-0000-0C00-000000000000}">
          <x14:formula1>
            <xm:f>'All Competencies'!$A$3:$A80</xm:f>
          </x14:formula1>
          <xm:sqref>A1:C1 G1:J1 N1:Q1 U1:V1</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3C78D8"/>
    <outlinePr summaryBelow="0" summaryRight="0"/>
  </sheetPr>
  <dimension ref="A1:I581"/>
  <sheetViews>
    <sheetView showGridLines="0" workbookViewId="0">
      <pane ySplit="4" topLeftCell="A5" activePane="bottomLeft" state="frozen"/>
      <selection pane="bottomLeft" activeCell="A3" sqref="A3"/>
    </sheetView>
  </sheetViews>
  <sheetFormatPr baseColWidth="10" defaultColWidth="14.5" defaultRowHeight="15.75" customHeight="1" outlineLevelRow="1" x14ac:dyDescent="0.15"/>
  <cols>
    <col min="1" max="2" width="0.6640625" customWidth="1"/>
    <col min="3" max="3" width="13.5" customWidth="1"/>
    <col min="4" max="4" width="18" customWidth="1"/>
    <col min="5" max="5" width="57.1640625" customWidth="1"/>
    <col min="6" max="6" width="57.5" customWidth="1"/>
    <col min="7" max="9" width="0.6640625" customWidth="1"/>
  </cols>
  <sheetData>
    <row r="1" spans="1:9" ht="27.75" customHeight="1" outlineLevel="1" x14ac:dyDescent="0.15">
      <c r="A1" s="127"/>
      <c r="B1" s="127"/>
      <c r="C1" s="188" t="s">
        <v>1312</v>
      </c>
      <c r="D1" s="160"/>
      <c r="E1" s="160"/>
      <c r="F1" s="160"/>
      <c r="G1" s="127"/>
      <c r="H1" s="127"/>
      <c r="I1" s="127"/>
    </row>
    <row r="2" spans="1:9" ht="17" outlineLevel="1" x14ac:dyDescent="0.15">
      <c r="A2" s="128"/>
      <c r="B2" s="128"/>
      <c r="C2" s="186" t="s">
        <v>1407</v>
      </c>
      <c r="D2" s="160"/>
      <c r="E2" s="160"/>
      <c r="F2" s="160"/>
      <c r="G2" s="128"/>
      <c r="H2" s="128"/>
      <c r="I2" s="128"/>
    </row>
    <row r="3" spans="1:9" ht="50" customHeight="1" outlineLevel="1" thickBot="1" x14ac:dyDescent="0.2">
      <c r="A3" s="129"/>
      <c r="B3" s="129"/>
      <c r="C3" s="187" t="str">
        <f ca="1">IFERROR(__xludf.DUMMYFUNCTION("IFERROR(UNIQUE(FILTER('Competency Learning Paths'!N:N,'Competency Learning Paths'!A:A= C1)))"),"Emotional Intelligence, set &amp; keep boundaries, protect your energy, be aware of your stressors, develop mindfulness, stay focus and flexible, improve your work-life balance")</f>
        <v>Emotional Intelligence, set &amp; keep boundaries, protect your energy, be aware of your stressors, develop mindfulness, stay focus and flexible, improve your work-life balance</v>
      </c>
      <c r="D3" s="160"/>
      <c r="E3" s="160"/>
      <c r="F3" s="160"/>
      <c r="G3" s="129"/>
      <c r="H3" s="129"/>
      <c r="I3" s="129"/>
    </row>
    <row r="4" spans="1:9" ht="18" outlineLevel="1" thickTop="1" thickBot="1" x14ac:dyDescent="0.2">
      <c r="A4" s="130"/>
      <c r="B4" s="131"/>
      <c r="C4" s="132" t="str">
        <f ca="1">IFERROR(__xludf.DUMMYFUNCTION("FILTER('All Competencies'!B:B,'All Competencies'!A:A=C1)"),"Course IDs")</f>
        <v>Course IDs</v>
      </c>
      <c r="D4" s="132" t="str">
        <f ca="1">IFERROR(__xludf.DUMMYFUNCTION("FILTER('All Competencies'!C:C,'All Competencies'!A:A=C1)"),"Level")</f>
        <v>Level</v>
      </c>
      <c r="E4" s="132" t="str">
        <f ca="1">IFERROR(__xludf.DUMMYFUNCTION("FILTER('All Competencies'!D:D,'All Competencies'!A:A=C1)"),"Courses")</f>
        <v>Courses</v>
      </c>
      <c r="F4" s="132" t="str">
        <f ca="1">IFERROR(__xludf.DUMMYFUNCTION("FILTER('All Competencies'!E:E,'All Competencies'!A:A=C1)"),"Learning Paths")</f>
        <v>Learning Paths</v>
      </c>
      <c r="G4" s="133"/>
      <c r="H4" s="131"/>
      <c r="I4" s="130"/>
    </row>
    <row r="5" spans="1:9" ht="33.75" customHeight="1" thickTop="1" x14ac:dyDescent="0.15">
      <c r="A5" s="134"/>
      <c r="B5" s="134"/>
      <c r="C5" s="135">
        <f ca="1">IFERROR(__xludf.DUMMYFUNCTION("""COMPUTED_VALUE"""),624208)</f>
        <v>624208</v>
      </c>
      <c r="D5" s="135" t="str">
        <f ca="1">IFERROR(__xludf.DUMMYFUNCTION("""COMPUTED_VALUE"""),"Advanced")</f>
        <v>Advanced</v>
      </c>
      <c r="E5" s="136" t="str">
        <f ca="1">IFERROR(__xludf.DUMMYFUNCTION("""COMPUTED_VALUE"""),"Creating a Positive and Healthy Work Environment")</f>
        <v>Creating a Positive and Healthy Work Environment</v>
      </c>
      <c r="F5" s="137" t="str">
        <f ca="1">IFERROR(__xludf.DUMMYFUNCTION("""COMPUTED_VALUE"""),"Remote Working: Setting Yourself and Your Teams Up for Success")</f>
        <v>Remote Working: Setting Yourself and Your Teams Up for Success</v>
      </c>
      <c r="G5" s="134"/>
      <c r="H5" s="134"/>
      <c r="I5" s="134"/>
    </row>
    <row r="6" spans="1:9" ht="33.75" customHeight="1" x14ac:dyDescent="0.15">
      <c r="A6" s="134"/>
      <c r="B6" s="134"/>
      <c r="C6" s="138">
        <f ca="1">IFERROR(__xludf.DUMMYFUNCTION("""COMPUTED_VALUE"""),2823579)</f>
        <v>2823579</v>
      </c>
      <c r="D6" s="138" t="str">
        <f ca="1">IFERROR(__xludf.DUMMYFUNCTION("""COMPUTED_VALUE"""),"Advanced")</f>
        <v>Advanced</v>
      </c>
      <c r="E6" s="143" t="str">
        <f ca="1">IFERROR(__xludf.DUMMYFUNCTION("""COMPUTED_VALUE"""),"Adaptive Leadership for VUCA Challenges")</f>
        <v>Adaptive Leadership for VUCA Challenges</v>
      </c>
      <c r="F6" s="140" t="str">
        <f ca="1">IFERROR(__xludf.DUMMYFUNCTION("""COMPUTED_VALUE"""),"Supporting Your Well-Being during Times of Change and Uncertainty")</f>
        <v>Supporting Your Well-Being during Times of Change and Uncertainty</v>
      </c>
      <c r="G6" s="134"/>
      <c r="H6" s="134"/>
      <c r="I6" s="134"/>
    </row>
    <row r="7" spans="1:9" ht="33.75" customHeight="1" x14ac:dyDescent="0.15">
      <c r="A7" s="134"/>
      <c r="B7" s="134"/>
      <c r="C7" s="138">
        <f ca="1">IFERROR(__xludf.DUMMYFUNCTION("""COMPUTED_VALUE"""),2822453)</f>
        <v>2822453</v>
      </c>
      <c r="D7" s="138" t="str">
        <f ca="1">IFERROR(__xludf.DUMMYFUNCTION("""COMPUTED_VALUE"""),"Advanced")</f>
        <v>Advanced</v>
      </c>
      <c r="E7" s="139" t="str">
        <f ca="1">IFERROR(__xludf.DUMMYFUNCTION("""COMPUTED_VALUE"""),"Driving Measurable, Sustainable Change")</f>
        <v>Driving Measurable, Sustainable Change</v>
      </c>
      <c r="F7" s="140" t="str">
        <f ca="1">IFERROR(__xludf.DUMMYFUNCTION("""COMPUTED_VALUE"""),"Manage Change and Develop Your Adaptability Skills")</f>
        <v>Manage Change and Develop Your Adaptability Skills</v>
      </c>
      <c r="G7" s="134"/>
      <c r="H7" s="134"/>
      <c r="I7" s="134"/>
    </row>
    <row r="8" spans="1:9" ht="15" x14ac:dyDescent="0.15">
      <c r="A8" s="134"/>
      <c r="B8" s="134"/>
      <c r="C8" s="138">
        <f ca="1">IFERROR(__xludf.DUMMYFUNCTION("""COMPUTED_VALUE"""),2823257)</f>
        <v>2823257</v>
      </c>
      <c r="D8" s="138" t="str">
        <f ca="1">IFERROR(__xludf.DUMMYFUNCTION("""COMPUTED_VALUE"""),"Beginner")</f>
        <v>Beginner</v>
      </c>
      <c r="E8" s="139" t="str">
        <f ca="1">IFERROR(__xludf.DUMMYFUNCTION("""COMPUTED_VALUE"""),"Overcoming Overwhelm")</f>
        <v>Overcoming Overwhelm</v>
      </c>
      <c r="F8" s="140" t="str">
        <f ca="1">IFERROR(__xludf.DUMMYFUNCTION("""COMPUTED_VALUE"""),"Staying Positive and Productive during Uncertainty")</f>
        <v>Staying Positive and Productive during Uncertainty</v>
      </c>
      <c r="G8" s="134"/>
      <c r="H8" s="134"/>
      <c r="I8" s="134"/>
    </row>
    <row r="9" spans="1:9" ht="33.75" customHeight="1" x14ac:dyDescent="0.15">
      <c r="A9" s="134"/>
      <c r="B9" s="134"/>
      <c r="C9" s="138">
        <f ca="1">IFERROR(__xludf.DUMMYFUNCTION("""COMPUTED_VALUE"""),2825404)</f>
        <v>2825404</v>
      </c>
      <c r="D9" s="138" t="str">
        <f ca="1">IFERROR(__xludf.DUMMYFUNCTION("""COMPUTED_VALUE"""),"Beginner")</f>
        <v>Beginner</v>
      </c>
      <c r="E9" s="139" t="str">
        <f ca="1">IFERROR(__xludf.DUMMYFUNCTION("""COMPUTED_VALUE"""),"Leading with Fearless Mindfulness")</f>
        <v>Leading with Fearless Mindfulness</v>
      </c>
      <c r="F9" s="140" t="str">
        <f ca="1">IFERROR(__xludf.DUMMYFUNCTION("""COMPUTED_VALUE"""),"Support your Mental Health During Challenging Times")</f>
        <v>Support your Mental Health During Challenging Times</v>
      </c>
      <c r="G9" s="134"/>
      <c r="H9" s="134"/>
      <c r="I9" s="134"/>
    </row>
    <row r="10" spans="1:9" ht="33.75" customHeight="1" x14ac:dyDescent="0.15">
      <c r="A10" s="134"/>
      <c r="B10" s="134"/>
      <c r="C10" s="138">
        <f ca="1">IFERROR(__xludf.DUMMYFUNCTION("""COMPUTED_VALUE"""),2825335)</f>
        <v>2825335</v>
      </c>
      <c r="D10" s="138" t="str">
        <f ca="1">IFERROR(__xludf.DUMMYFUNCTION("""COMPUTED_VALUE"""),"Beginner")</f>
        <v>Beginner</v>
      </c>
      <c r="E10" s="139" t="str">
        <f ca="1">IFERROR(__xludf.DUMMYFUNCTION("""COMPUTED_VALUE"""),"Finding and Doing the One Thing")</f>
        <v>Finding and Doing the One Thing</v>
      </c>
      <c r="F10" s="142"/>
      <c r="G10" s="134"/>
      <c r="H10" s="134"/>
      <c r="I10" s="134"/>
    </row>
    <row r="11" spans="1:9" ht="33.75" customHeight="1" x14ac:dyDescent="0.15">
      <c r="A11" s="134"/>
      <c r="B11" s="134"/>
      <c r="C11" s="138">
        <f ca="1">IFERROR(__xludf.DUMMYFUNCTION("""COMPUTED_VALUE"""),585224)</f>
        <v>585224</v>
      </c>
      <c r="D11" s="138" t="str">
        <f ca="1">IFERROR(__xludf.DUMMYFUNCTION("""COMPUTED_VALUE"""),"Beginner")</f>
        <v>Beginner</v>
      </c>
      <c r="E11" s="139" t="str">
        <f ca="1">IFERROR(__xludf.DUMMYFUNCTION("""COMPUTED_VALUE"""),"Finding Your Introvert/Extrovert Balance in the Workplace")</f>
        <v>Finding Your Introvert/Extrovert Balance in the Workplace</v>
      </c>
      <c r="F11" s="141"/>
      <c r="G11" s="134"/>
      <c r="H11" s="134"/>
      <c r="I11" s="134"/>
    </row>
    <row r="12" spans="1:9" ht="33.75" customHeight="1" x14ac:dyDescent="0.15">
      <c r="A12" s="134"/>
      <c r="B12" s="134"/>
      <c r="C12" s="138">
        <f ca="1">IFERROR(__xludf.DUMMYFUNCTION("""COMPUTED_VALUE"""),2822454)</f>
        <v>2822454</v>
      </c>
      <c r="D12" s="138" t="str">
        <f ca="1">IFERROR(__xludf.DUMMYFUNCTION("""COMPUTED_VALUE"""),"Beginner")</f>
        <v>Beginner</v>
      </c>
      <c r="E12" s="139" t="str">
        <f ca="1">IFERROR(__xludf.DUMMYFUNCTION("""COMPUTED_VALUE"""),"Managing Your Energy")</f>
        <v>Managing Your Energy</v>
      </c>
      <c r="F12" s="141"/>
      <c r="G12" s="134"/>
      <c r="H12" s="134"/>
      <c r="I12" s="134"/>
    </row>
    <row r="13" spans="1:9" ht="33.75" customHeight="1" x14ac:dyDescent="0.15">
      <c r="A13" s="134"/>
      <c r="B13" s="134"/>
      <c r="C13" s="138">
        <f ca="1">IFERROR(__xludf.DUMMYFUNCTION("""COMPUTED_VALUE"""),2870085)</f>
        <v>2870085</v>
      </c>
      <c r="D13" s="138" t="str">
        <f ca="1">IFERROR(__xludf.DUMMYFUNCTION("""COMPUTED_VALUE"""),"Beginner")</f>
        <v>Beginner</v>
      </c>
      <c r="E13" s="139" t="str">
        <f ca="1">IFERROR(__xludf.DUMMYFUNCTION("""COMPUTED_VALUE"""),"Well-being in the Workplace")</f>
        <v>Well-being in the Workplace</v>
      </c>
      <c r="F13" s="142"/>
      <c r="G13" s="134"/>
      <c r="H13" s="134"/>
      <c r="I13" s="134"/>
    </row>
    <row r="14" spans="1:9" ht="33.75" customHeight="1" x14ac:dyDescent="0.15">
      <c r="A14" s="134"/>
      <c r="B14" s="134"/>
      <c r="C14" s="138">
        <f ca="1">IFERROR(__xludf.DUMMYFUNCTION("""COMPUTED_VALUE"""),2823252)</f>
        <v>2823252</v>
      </c>
      <c r="D14" s="138" t="str">
        <f ca="1">IFERROR(__xludf.DUMMYFUNCTION("""COMPUTED_VALUE"""),"Beginner")</f>
        <v>Beginner</v>
      </c>
      <c r="E14" s="139" t="str">
        <f ca="1">IFERROR(__xludf.DUMMYFUNCTION("""COMPUTED_VALUE"""),"Managing Self-Doubt to Tackle Bigger Challenges")</f>
        <v>Managing Self-Doubt to Tackle Bigger Challenges</v>
      </c>
      <c r="F14" s="141"/>
      <c r="G14" s="134"/>
      <c r="H14" s="134"/>
      <c r="I14" s="134"/>
    </row>
    <row r="15" spans="1:9" ht="33.75" customHeight="1" x14ac:dyDescent="0.15">
      <c r="A15" s="134"/>
      <c r="B15" s="134"/>
      <c r="C15" s="138">
        <f ca="1">IFERROR(__xludf.DUMMYFUNCTION("""COMPUTED_VALUE"""),2833041)</f>
        <v>2833041</v>
      </c>
      <c r="D15" s="138" t="str">
        <f ca="1">IFERROR(__xludf.DUMMYFUNCTION("""COMPUTED_VALUE"""),"Beginner")</f>
        <v>Beginner</v>
      </c>
      <c r="E15" s="139" t="str">
        <f ca="1">IFERROR(__xludf.DUMMYFUNCTION("""COMPUTED_VALUE"""),"Using Your Mind to Change Your Brain")</f>
        <v>Using Your Mind to Change Your Brain</v>
      </c>
      <c r="F15" s="141"/>
      <c r="G15" s="134"/>
      <c r="H15" s="134"/>
      <c r="I15" s="134"/>
    </row>
    <row r="16" spans="1:9" ht="33.75" customHeight="1" x14ac:dyDescent="0.15">
      <c r="A16" s="134"/>
      <c r="B16" s="134"/>
      <c r="C16" s="138">
        <f ca="1">IFERROR(__xludf.DUMMYFUNCTION("""COMPUTED_VALUE"""),2803042)</f>
        <v>2803042</v>
      </c>
      <c r="D16" s="138" t="str">
        <f ca="1">IFERROR(__xludf.DUMMYFUNCTION("""COMPUTED_VALUE"""),"Beginner")</f>
        <v>Beginner</v>
      </c>
      <c r="E16" s="139" t="str">
        <f ca="1">IFERROR(__xludf.DUMMYFUNCTION("""COMPUTED_VALUE"""),"Chair Work: Yoga Fitness and Stretching at Your Desk")</f>
        <v>Chair Work: Yoga Fitness and Stretching at Your Desk</v>
      </c>
      <c r="F16" s="141"/>
      <c r="G16" s="134"/>
      <c r="H16" s="134"/>
      <c r="I16" s="134"/>
    </row>
    <row r="17" spans="1:9" ht="33.75" customHeight="1" x14ac:dyDescent="0.15">
      <c r="A17" s="134"/>
      <c r="B17" s="134"/>
      <c r="C17" s="138">
        <f ca="1">IFERROR(__xludf.DUMMYFUNCTION("""COMPUTED_VALUE"""),2876024)</f>
        <v>2876024</v>
      </c>
      <c r="D17" s="138" t="str">
        <f ca="1">IFERROR(__xludf.DUMMYFUNCTION("""COMPUTED_VALUE"""),"Beginner")</f>
        <v>Beginner</v>
      </c>
      <c r="E17" s="139" t="str">
        <f ca="1">IFERROR(__xludf.DUMMYFUNCTION("""COMPUTED_VALUE"""),"How to Slash Anxiety and Keep Positivity Flowing")</f>
        <v>How to Slash Anxiety and Keep Positivity Flowing</v>
      </c>
      <c r="F17" s="141"/>
      <c r="G17" s="134"/>
      <c r="H17" s="134"/>
      <c r="I17" s="134"/>
    </row>
    <row r="18" spans="1:9" ht="33.75" customHeight="1" x14ac:dyDescent="0.15">
      <c r="A18" s="134"/>
      <c r="B18" s="134"/>
      <c r="C18" s="138">
        <f ca="1">IFERROR(__xludf.DUMMYFUNCTION("""COMPUTED_VALUE"""),2366892)</f>
        <v>2366892</v>
      </c>
      <c r="D18" s="138" t="str">
        <f ca="1">IFERROR(__xludf.DUMMYFUNCTION("""COMPUTED_VALUE"""),"Beginner")</f>
        <v>Beginner</v>
      </c>
      <c r="E18" s="139" t="str">
        <f ca="1">IFERROR(__xludf.DUMMYFUNCTION("""COMPUTED_VALUE"""),"Breathing Exercises for Mask Wearers")</f>
        <v>Breathing Exercises for Mask Wearers</v>
      </c>
      <c r="F18" s="141"/>
      <c r="G18" s="134"/>
      <c r="H18" s="134"/>
      <c r="I18" s="134"/>
    </row>
    <row r="19" spans="1:9" ht="33.75" customHeight="1" x14ac:dyDescent="0.15">
      <c r="A19" s="134"/>
      <c r="B19" s="134"/>
      <c r="C19" s="138">
        <f ca="1">IFERROR(__xludf.DUMMYFUNCTION("""COMPUTED_VALUE"""),2825479)</f>
        <v>2825479</v>
      </c>
      <c r="D19" s="138" t="str">
        <f ca="1">IFERROR(__xludf.DUMMYFUNCTION("""COMPUTED_VALUE"""),"Beginner")</f>
        <v>Beginner</v>
      </c>
      <c r="E19" s="139" t="str">
        <f ca="1">IFERROR(__xludf.DUMMYFUNCTION("""COMPUTED_VALUE"""),"Building Better Routines")</f>
        <v>Building Better Routines</v>
      </c>
      <c r="F19" s="141"/>
      <c r="G19" s="134"/>
      <c r="H19" s="134"/>
      <c r="I19" s="134"/>
    </row>
    <row r="20" spans="1:9" ht="33.75" customHeight="1" x14ac:dyDescent="0.15">
      <c r="A20" s="134"/>
      <c r="B20" s="134"/>
      <c r="C20" s="138">
        <f ca="1">IFERROR(__xludf.DUMMYFUNCTION("""COMPUTED_VALUE"""),794118)</f>
        <v>794118</v>
      </c>
      <c r="D20" s="138" t="str">
        <f ca="1">IFERROR(__xludf.DUMMYFUNCTION("""COMPUTED_VALUE"""),"Beginner")</f>
        <v>Beginner</v>
      </c>
      <c r="E20" s="139" t="str">
        <f ca="1">IFERROR(__xludf.DUMMYFUNCTION("""COMPUTED_VALUE"""),"Teaching Civility in the Workplace")</f>
        <v>Teaching Civility in the Workplace</v>
      </c>
      <c r="F20" s="141"/>
      <c r="G20" s="134"/>
      <c r="H20" s="134"/>
      <c r="I20" s="134"/>
    </row>
    <row r="21" spans="1:9" ht="33.75" customHeight="1" x14ac:dyDescent="0.15">
      <c r="A21" s="134"/>
      <c r="B21" s="134"/>
      <c r="C21" s="138">
        <f ca="1">IFERROR(__xludf.DUMMYFUNCTION("""COMPUTED_VALUE"""),2803040)</f>
        <v>2803040</v>
      </c>
      <c r="D21" s="138" t="str">
        <f ca="1">IFERROR(__xludf.DUMMYFUNCTION("""COMPUTED_VALUE"""),"Beginner")</f>
        <v>Beginner</v>
      </c>
      <c r="E21" s="139" t="str">
        <f ca="1">IFERROR(__xludf.DUMMYFUNCTION("""COMPUTED_VALUE"""),"De-stress: Meditation and Movement for Stress Management")</f>
        <v>De-stress: Meditation and Movement for Stress Management</v>
      </c>
      <c r="F21" s="141"/>
      <c r="G21" s="134"/>
      <c r="H21" s="134"/>
      <c r="I21" s="134"/>
    </row>
    <row r="22" spans="1:9" ht="33.75" customHeight="1" x14ac:dyDescent="0.15">
      <c r="A22" s="134"/>
      <c r="B22" s="134"/>
      <c r="C22" s="138">
        <f ca="1">IFERROR(__xludf.DUMMYFUNCTION("""COMPUTED_VALUE"""),2812492)</f>
        <v>2812492</v>
      </c>
      <c r="D22" s="138" t="str">
        <f ca="1">IFERROR(__xludf.DUMMYFUNCTION("""COMPUTED_VALUE"""),"Beginner")</f>
        <v>Beginner</v>
      </c>
      <c r="E22" s="139" t="str">
        <f ca="1">IFERROR(__xludf.DUMMYFUNCTION("""COMPUTED_VALUE"""),"Overcoming Imposter Syndrome")</f>
        <v>Overcoming Imposter Syndrome</v>
      </c>
      <c r="F22" s="141"/>
      <c r="G22" s="134"/>
      <c r="H22" s="134"/>
      <c r="I22" s="134"/>
    </row>
    <row r="23" spans="1:9" ht="33.75" customHeight="1" x14ac:dyDescent="0.15">
      <c r="A23" s="134"/>
      <c r="B23" s="134"/>
      <c r="C23" s="138">
        <f ca="1">IFERROR(__xludf.DUMMYFUNCTION("""COMPUTED_VALUE"""),2825340)</f>
        <v>2825340</v>
      </c>
      <c r="D23" s="138" t="str">
        <f ca="1">IFERROR(__xludf.DUMMYFUNCTION("""COMPUTED_VALUE"""),"Beginner")</f>
        <v>Beginner</v>
      </c>
      <c r="E23" s="139" t="str">
        <f ca="1">IFERROR(__xludf.DUMMYFUNCTION("""COMPUTED_VALUE"""),"Stop Stressing and Keep Moving Forward")</f>
        <v>Stop Stressing and Keep Moving Forward</v>
      </c>
      <c r="F23" s="141"/>
      <c r="G23" s="134"/>
      <c r="H23" s="134"/>
      <c r="I23" s="134"/>
    </row>
    <row r="24" spans="1:9" ht="33.75" customHeight="1" x14ac:dyDescent="0.15">
      <c r="A24" s="134"/>
      <c r="B24" s="134"/>
      <c r="C24" s="138">
        <f ca="1">IFERROR(__xludf.DUMMYFUNCTION("""COMPUTED_VALUE"""),592484)</f>
        <v>592484</v>
      </c>
      <c r="D24" s="138" t="str">
        <f ca="1">IFERROR(__xludf.DUMMYFUNCTION("""COMPUTED_VALUE"""),"Beginner")</f>
        <v>Beginner</v>
      </c>
      <c r="E24" s="139" t="str">
        <f ca="1">IFERROR(__xludf.DUMMYFUNCTION("""COMPUTED_VALUE"""),"Anger Management")</f>
        <v>Anger Management</v>
      </c>
      <c r="F24" s="141"/>
      <c r="G24" s="134"/>
      <c r="H24" s="134"/>
      <c r="I24" s="134"/>
    </row>
    <row r="25" spans="1:9" ht="33.75" customHeight="1" x14ac:dyDescent="0.15">
      <c r="A25" s="134"/>
      <c r="B25" s="134"/>
      <c r="C25" s="138">
        <f ca="1">IFERROR(__xludf.DUMMYFUNCTION("""COMPUTED_VALUE"""),2873102)</f>
        <v>2873102</v>
      </c>
      <c r="D25" s="138" t="str">
        <f ca="1">IFERROR(__xludf.DUMMYFUNCTION("""COMPUTED_VALUE"""),"Beginner")</f>
        <v>Beginner</v>
      </c>
      <c r="E25" s="139" t="str">
        <f ca="1">IFERROR(__xludf.DUMMYFUNCTION("""COMPUTED_VALUE"""),"The Science of Compassion: Compassionate Presence")</f>
        <v>The Science of Compassion: Compassionate Presence</v>
      </c>
      <c r="F25" s="141"/>
      <c r="G25" s="134"/>
      <c r="H25" s="134"/>
      <c r="I25" s="134"/>
    </row>
    <row r="26" spans="1:9" ht="33.75" customHeight="1" x14ac:dyDescent="0.15">
      <c r="A26" s="134"/>
      <c r="B26" s="134"/>
      <c r="C26" s="138">
        <f ca="1">IFERROR(__xludf.DUMMYFUNCTION("""COMPUTED_VALUE"""),2833042)</f>
        <v>2833042</v>
      </c>
      <c r="D26" s="138" t="str">
        <f ca="1">IFERROR(__xludf.DUMMYFUNCTION("""COMPUTED_VALUE"""),"Beginner")</f>
        <v>Beginner</v>
      </c>
      <c r="E26" s="139" t="str">
        <f ca="1">IFERROR(__xludf.DUMMYFUNCTION("""COMPUTED_VALUE"""),"Mindfulness for Beginners")</f>
        <v>Mindfulness for Beginners</v>
      </c>
      <c r="F26" s="141"/>
      <c r="G26" s="134"/>
      <c r="H26" s="134"/>
      <c r="I26" s="134"/>
    </row>
    <row r="27" spans="1:9" ht="33.75" customHeight="1" x14ac:dyDescent="0.15">
      <c r="A27" s="134"/>
      <c r="B27" s="134"/>
      <c r="C27" s="138">
        <f ca="1">IFERROR(__xludf.DUMMYFUNCTION("""COMPUTED_VALUE"""),2804062)</f>
        <v>2804062</v>
      </c>
      <c r="D27" s="138" t="str">
        <f ca="1">IFERROR(__xludf.DUMMYFUNCTION("""COMPUTED_VALUE"""),"Beginner")</f>
        <v>Beginner</v>
      </c>
      <c r="E27" s="139" t="str">
        <f ca="1">IFERROR(__xludf.DUMMYFUNCTION("""COMPUTED_VALUE"""),"Computer and Text Neck Stretching Exercises")</f>
        <v>Computer and Text Neck Stretching Exercises</v>
      </c>
      <c r="F27" s="141"/>
      <c r="G27" s="134"/>
      <c r="H27" s="134"/>
      <c r="I27" s="134"/>
    </row>
    <row r="28" spans="1:9" ht="33.75" customHeight="1" x14ac:dyDescent="0.15">
      <c r="A28" s="134"/>
      <c r="B28" s="134"/>
      <c r="C28" s="138">
        <f ca="1">IFERROR(__xludf.DUMMYFUNCTION("""COMPUTED_VALUE"""),2802031)</f>
        <v>2802031</v>
      </c>
      <c r="D28" s="138" t="str">
        <f ca="1">IFERROR(__xludf.DUMMYFUNCTION("""COMPUTED_VALUE"""),"Beginner")</f>
        <v>Beginner</v>
      </c>
      <c r="E28" s="139" t="str">
        <f ca="1">IFERROR(__xludf.DUMMYFUNCTION("""COMPUTED_VALUE"""),"The Mindful Workday")</f>
        <v>The Mindful Workday</v>
      </c>
      <c r="F28" s="141"/>
      <c r="G28" s="134"/>
      <c r="H28" s="134"/>
      <c r="I28" s="134"/>
    </row>
    <row r="29" spans="1:9" ht="33.75" customHeight="1" x14ac:dyDescent="0.15">
      <c r="A29" s="134"/>
      <c r="B29" s="134"/>
      <c r="C29" s="138">
        <f ca="1">IFERROR(__xludf.DUMMYFUNCTION("""COMPUTED_VALUE"""),2823287)</f>
        <v>2823287</v>
      </c>
      <c r="D29" s="138" t="str">
        <f ca="1">IFERROR(__xludf.DUMMYFUNCTION("""COMPUTED_VALUE"""),"Beginner")</f>
        <v>Beginner</v>
      </c>
      <c r="E29" s="139" t="str">
        <f ca="1">IFERROR(__xludf.DUMMYFUNCTION("""COMPUTED_VALUE"""),"Setting Limits with Your Smartphone")</f>
        <v>Setting Limits with Your Smartphone</v>
      </c>
      <c r="F29" s="141"/>
      <c r="G29" s="134"/>
      <c r="H29" s="134"/>
      <c r="I29" s="134"/>
    </row>
    <row r="30" spans="1:9" ht="33.75" customHeight="1" x14ac:dyDescent="0.15">
      <c r="A30" s="134"/>
      <c r="B30" s="134"/>
      <c r="C30" s="138">
        <f ca="1">IFERROR(__xludf.DUMMYFUNCTION("""COMPUTED_VALUE"""),2802032)</f>
        <v>2802032</v>
      </c>
      <c r="D30" s="138" t="str">
        <f ca="1">IFERROR(__xludf.DUMMYFUNCTION("""COMPUTED_VALUE"""),"Beginner")</f>
        <v>Beginner</v>
      </c>
      <c r="E30" s="139" t="str">
        <f ca="1">IFERROR(__xludf.DUMMYFUNCTION("""COMPUTED_VALUE"""),"Ergonomics 101")</f>
        <v>Ergonomics 101</v>
      </c>
      <c r="F30" s="141"/>
      <c r="G30" s="134"/>
      <c r="H30" s="134"/>
      <c r="I30" s="134"/>
    </row>
    <row r="31" spans="1:9" ht="33.75" customHeight="1" x14ac:dyDescent="0.15">
      <c r="A31" s="134"/>
      <c r="B31" s="134"/>
      <c r="C31" s="138">
        <f ca="1">IFERROR(__xludf.DUMMYFUNCTION("""COMPUTED_VALUE"""),570966)</f>
        <v>570966</v>
      </c>
      <c r="D31" s="138" t="str">
        <f ca="1">IFERROR(__xludf.DUMMYFUNCTION("""COMPUTED_VALUE"""),"Beginner")</f>
        <v>Beginner</v>
      </c>
      <c r="E31" s="139" t="str">
        <f ca="1">IFERROR(__xludf.DUMMYFUNCTION("""COMPUTED_VALUE"""),"Developing Your Emotional Intelligence")</f>
        <v>Developing Your Emotional Intelligence</v>
      </c>
      <c r="F31" s="141"/>
      <c r="G31" s="134"/>
      <c r="H31" s="134"/>
      <c r="I31" s="134"/>
    </row>
    <row r="32" spans="1:9" ht="33.75" customHeight="1" x14ac:dyDescent="0.15">
      <c r="A32" s="134"/>
      <c r="B32" s="134"/>
      <c r="C32" s="138">
        <f ca="1">IFERROR(__xludf.DUMMYFUNCTION("""COMPUTED_VALUE"""),2835073)</f>
        <v>2835073</v>
      </c>
      <c r="D32" s="138" t="str">
        <f ca="1">IFERROR(__xludf.DUMMYFUNCTION("""COMPUTED_VALUE"""),"Beginner")</f>
        <v>Beginner</v>
      </c>
      <c r="E32" s="139" t="str">
        <f ca="1">IFERROR(__xludf.DUMMYFUNCTION("""COMPUTED_VALUE"""),"Meditations to Change Your Brain")</f>
        <v>Meditations to Change Your Brain</v>
      </c>
      <c r="F32" s="141"/>
      <c r="G32" s="134"/>
      <c r="H32" s="134"/>
      <c r="I32" s="134"/>
    </row>
    <row r="33" spans="1:9" ht="33.75" customHeight="1" x14ac:dyDescent="0.15">
      <c r="A33" s="134"/>
      <c r="B33" s="134"/>
      <c r="C33" s="138">
        <f ca="1">IFERROR(__xludf.DUMMYFUNCTION("""COMPUTED_VALUE"""),622054)</f>
        <v>622054</v>
      </c>
      <c r="D33" s="138" t="str">
        <f ca="1">IFERROR(__xludf.DUMMYFUNCTION("""COMPUTED_VALUE"""),"Beginner")</f>
        <v>Beginner</v>
      </c>
      <c r="E33" s="139" t="str">
        <f ca="1">IFERROR(__xludf.DUMMYFUNCTION("""COMPUTED_VALUE"""),"Developing Self-Awareness")</f>
        <v>Developing Self-Awareness</v>
      </c>
      <c r="F33" s="141"/>
      <c r="G33" s="134"/>
      <c r="H33" s="134"/>
      <c r="I33" s="134"/>
    </row>
    <row r="34" spans="1:9" ht="33.75" customHeight="1" x14ac:dyDescent="0.15">
      <c r="A34" s="134"/>
      <c r="B34" s="134"/>
      <c r="C34" s="138">
        <f ca="1">IFERROR(__xludf.DUMMYFUNCTION("""COMPUTED_VALUE"""),2811713)</f>
        <v>2811713</v>
      </c>
      <c r="D34" s="138" t="str">
        <f ca="1">IFERROR(__xludf.DUMMYFUNCTION("""COMPUTED_VALUE"""),"Beginner")</f>
        <v>Beginner</v>
      </c>
      <c r="E34" s="139" t="str">
        <f ca="1">IFERROR(__xludf.DUMMYFUNCTION("""COMPUTED_VALUE"""),"Avoiding Burnout")</f>
        <v>Avoiding Burnout</v>
      </c>
      <c r="F34" s="141"/>
      <c r="G34" s="134"/>
      <c r="H34" s="134"/>
      <c r="I34" s="134"/>
    </row>
    <row r="35" spans="1:9" ht="33.75" customHeight="1" x14ac:dyDescent="0.15">
      <c r="A35" s="134"/>
      <c r="B35" s="134"/>
      <c r="C35" s="138">
        <f ca="1">IFERROR(__xludf.DUMMYFUNCTION("""COMPUTED_VALUE"""),2832004)</f>
        <v>2832004</v>
      </c>
      <c r="D35" s="138" t="str">
        <f ca="1">IFERROR(__xludf.DUMMYFUNCTION("""COMPUTED_VALUE"""),"Beginner")</f>
        <v>Beginner</v>
      </c>
      <c r="E35" s="139" t="str">
        <f ca="1">IFERROR(__xludf.DUMMYFUNCTION("""COMPUTED_VALUE"""),"Sky Yogi: Relax and Stretch for a Better Flight")</f>
        <v>Sky Yogi: Relax and Stretch for a Better Flight</v>
      </c>
      <c r="F35" s="141"/>
      <c r="G35" s="134"/>
      <c r="H35" s="134"/>
      <c r="I35" s="134"/>
    </row>
    <row r="36" spans="1:9" ht="33.75" customHeight="1" x14ac:dyDescent="0.15">
      <c r="A36" s="134"/>
      <c r="B36" s="134"/>
      <c r="C36" s="138">
        <f ca="1">IFERROR(__xludf.DUMMYFUNCTION("""COMPUTED_VALUE"""),2864355)</f>
        <v>2864355</v>
      </c>
      <c r="D36" s="138" t="str">
        <f ca="1">IFERROR(__xludf.DUMMYFUNCTION("""COMPUTED_VALUE"""),"Beginner")</f>
        <v>Beginner</v>
      </c>
      <c r="E36" s="139" t="str">
        <f ca="1">IFERROR(__xludf.DUMMYFUNCTION("""COMPUTED_VALUE"""),"Boost Emotional Intelligence with Mindfulness")</f>
        <v>Boost Emotional Intelligence with Mindfulness</v>
      </c>
      <c r="F36" s="141"/>
      <c r="G36" s="134"/>
      <c r="H36" s="134"/>
      <c r="I36" s="134"/>
    </row>
    <row r="37" spans="1:9" ht="33.75" customHeight="1" x14ac:dyDescent="0.15">
      <c r="A37" s="134"/>
      <c r="B37" s="134"/>
      <c r="C37" s="138">
        <f ca="1">IFERROR(__xludf.DUMMYFUNCTION("""COMPUTED_VALUE"""),2810626)</f>
        <v>2810626</v>
      </c>
      <c r="D37" s="138" t="str">
        <f ca="1">IFERROR(__xludf.DUMMYFUNCTION("""COMPUTED_VALUE"""),"Beginner")</f>
        <v>Beginner</v>
      </c>
      <c r="E37" s="139" t="str">
        <f ca="1">IFERROR(__xludf.DUMMYFUNCTION("""COMPUTED_VALUE"""),"Managing Stress")</f>
        <v>Managing Stress</v>
      </c>
      <c r="F37" s="141"/>
      <c r="G37" s="134"/>
      <c r="H37" s="134"/>
      <c r="I37" s="134"/>
    </row>
    <row r="38" spans="1:9" ht="33.75" customHeight="1" x14ac:dyDescent="0.15">
      <c r="A38" s="134"/>
      <c r="B38" s="134"/>
      <c r="C38" s="138">
        <f ca="1">IFERROR(__xludf.DUMMYFUNCTION("""COMPUTED_VALUE"""),599593)</f>
        <v>599593</v>
      </c>
      <c r="D38" s="138" t="str">
        <f ca="1">IFERROR(__xludf.DUMMYFUNCTION("""COMPUTED_VALUE"""),"Beginner")</f>
        <v>Beginner</v>
      </c>
      <c r="E38" s="139" t="str">
        <f ca="1">IFERROR(__xludf.DUMMYFUNCTION("""COMPUTED_VALUE"""),"Being Positive at Work")</f>
        <v>Being Positive at Work</v>
      </c>
      <c r="F38" s="141"/>
      <c r="G38" s="134"/>
      <c r="H38" s="134"/>
      <c r="I38" s="134"/>
    </row>
    <row r="39" spans="1:9" ht="33.75" customHeight="1" x14ac:dyDescent="0.15">
      <c r="A39" s="134"/>
      <c r="B39" s="134"/>
      <c r="C39" s="138">
        <f ca="1">IFERROR(__xludf.DUMMYFUNCTION("""COMPUTED_VALUE"""),2315934)</f>
        <v>2315934</v>
      </c>
      <c r="D39" s="138" t="str">
        <f ca="1">IFERROR(__xludf.DUMMYFUNCTION("""COMPUTED_VALUE"""),"Beginner + Intermediate")</f>
        <v>Beginner + Intermediate</v>
      </c>
      <c r="E39" s="139" t="str">
        <f ca="1">IFERROR(__xludf.DUMMYFUNCTION("""COMPUTED_VALUE"""),"Supporting a Grieving Employee: A Manager's Guide")</f>
        <v>Supporting a Grieving Employee: A Manager's Guide</v>
      </c>
      <c r="F39" s="141"/>
      <c r="G39" s="134"/>
      <c r="H39" s="134"/>
      <c r="I39" s="134"/>
    </row>
    <row r="40" spans="1:9" ht="33.75" customHeight="1" x14ac:dyDescent="0.15">
      <c r="A40" s="134"/>
      <c r="B40" s="134"/>
      <c r="C40" s="138">
        <f ca="1">IFERROR(__xludf.DUMMYFUNCTION("""COMPUTED_VALUE"""),659269)</f>
        <v>659269</v>
      </c>
      <c r="D40" s="138" t="str">
        <f ca="1">IFERROR(__xludf.DUMMYFUNCTION("""COMPUTED_VALUE"""),"Beginner + Intermediate")</f>
        <v>Beginner + Intermediate</v>
      </c>
      <c r="E40" s="139" t="str">
        <f ca="1">IFERROR(__xludf.DUMMYFUNCTION("""COMPUTED_VALUE"""),"Managing Stress for Positive Change")</f>
        <v>Managing Stress for Positive Change</v>
      </c>
      <c r="F40" s="141"/>
      <c r="G40" s="134"/>
      <c r="H40" s="134"/>
      <c r="I40" s="134"/>
    </row>
    <row r="41" spans="1:9" ht="33.75" customHeight="1" x14ac:dyDescent="0.15">
      <c r="A41" s="134"/>
      <c r="B41" s="134"/>
      <c r="C41" s="138">
        <f ca="1">IFERROR(__xludf.DUMMYFUNCTION("""COMPUTED_VALUE"""),622050)</f>
        <v>622050</v>
      </c>
      <c r="D41" s="138" t="str">
        <f ca="1">IFERROR(__xludf.DUMMYFUNCTION("""COMPUTED_VALUE"""),"Beginner + Intermediate")</f>
        <v>Beginner + Intermediate</v>
      </c>
      <c r="E41" s="139" t="str">
        <f ca="1">IFERROR(__xludf.DUMMYFUNCTION("""COMPUTED_VALUE"""),"Developing Adaptable Employees")</f>
        <v>Developing Adaptable Employees</v>
      </c>
      <c r="F41" s="141"/>
      <c r="G41" s="134"/>
      <c r="H41" s="134"/>
      <c r="I41" s="134"/>
    </row>
    <row r="42" spans="1:9" ht="33.75" customHeight="1" x14ac:dyDescent="0.15">
      <c r="A42" s="134"/>
      <c r="B42" s="134"/>
      <c r="C42" s="138">
        <f ca="1">IFERROR(__xludf.DUMMYFUNCTION("""COMPUTED_VALUE"""),2212156)</f>
        <v>2212156</v>
      </c>
      <c r="D42" s="138" t="str">
        <f ca="1">IFERROR(__xludf.DUMMYFUNCTION("""COMPUTED_VALUE"""),"Beginner + Intermediate")</f>
        <v>Beginner + Intermediate</v>
      </c>
      <c r="E42" s="139" t="str">
        <f ca="1">IFERROR(__xludf.DUMMYFUNCTION("""COMPUTED_VALUE"""),"Mindful Meditations for Work and Life")</f>
        <v>Mindful Meditations for Work and Life</v>
      </c>
      <c r="F42" s="141"/>
      <c r="G42" s="134"/>
      <c r="H42" s="134"/>
      <c r="I42" s="134"/>
    </row>
    <row r="43" spans="1:9" ht="33.75" customHeight="1" x14ac:dyDescent="0.15">
      <c r="A43" s="134"/>
      <c r="B43" s="134"/>
      <c r="C43" s="138">
        <f ca="1">IFERROR(__xludf.DUMMYFUNCTION("""COMPUTED_VALUE"""),2848327)</f>
        <v>2848327</v>
      </c>
      <c r="D43" s="138" t="str">
        <f ca="1">IFERROR(__xludf.DUMMYFUNCTION("""COMPUTED_VALUE"""),"Beginner + Intermediate")</f>
        <v>Beginner + Intermediate</v>
      </c>
      <c r="E43" s="139" t="str">
        <f ca="1">IFERROR(__xludf.DUMMYFUNCTION("""COMPUTED_VALUE"""),"The 45-Minute Business Plan")</f>
        <v>The 45-Minute Business Plan</v>
      </c>
      <c r="F43" s="141"/>
      <c r="G43" s="134"/>
      <c r="H43" s="134"/>
      <c r="I43" s="134"/>
    </row>
    <row r="44" spans="1:9" ht="33.75" customHeight="1" x14ac:dyDescent="0.15">
      <c r="A44" s="134"/>
      <c r="B44" s="134"/>
      <c r="C44" s="138">
        <f ca="1">IFERROR(__xludf.DUMMYFUNCTION("""COMPUTED_VALUE"""),365732)</f>
        <v>365732</v>
      </c>
      <c r="D44" s="138" t="str">
        <f ca="1">IFERROR(__xludf.DUMMYFUNCTION("""COMPUTED_VALUE"""),"General")</f>
        <v>General</v>
      </c>
      <c r="E44" s="139" t="str">
        <f ca="1">IFERROR(__xludf.DUMMYFUNCTION("""COMPUTED_VALUE"""),"Humor in the Workplace")</f>
        <v>Humor in the Workplace</v>
      </c>
      <c r="F44" s="141"/>
      <c r="G44" s="134"/>
      <c r="H44" s="134"/>
      <c r="I44" s="134"/>
    </row>
    <row r="45" spans="1:9" ht="33.75" customHeight="1" x14ac:dyDescent="0.15">
      <c r="A45" s="134"/>
      <c r="B45" s="134"/>
      <c r="C45" s="138">
        <f ca="1">IFERROR(__xludf.DUMMYFUNCTION("""COMPUTED_VALUE"""),444524)</f>
        <v>444524</v>
      </c>
      <c r="D45" s="138" t="str">
        <f ca="1">IFERROR(__xludf.DUMMYFUNCTION("""COMPUTED_VALUE"""),"General")</f>
        <v>General</v>
      </c>
      <c r="E45" s="139" t="str">
        <f ca="1">IFERROR(__xludf.DUMMYFUNCTION("""COMPUTED_VALUE"""),"Gretchen Rubin on Creating Great Workplace Habits")</f>
        <v>Gretchen Rubin on Creating Great Workplace Habits</v>
      </c>
      <c r="F45" s="141"/>
      <c r="G45" s="134"/>
      <c r="H45" s="134"/>
      <c r="I45" s="134"/>
    </row>
    <row r="46" spans="1:9" ht="33.75" customHeight="1" x14ac:dyDescent="0.15">
      <c r="A46" s="134"/>
      <c r="B46" s="134"/>
      <c r="C46" s="138">
        <f ca="1">IFERROR(__xludf.DUMMYFUNCTION("""COMPUTED_VALUE"""),604203)</f>
        <v>604203</v>
      </c>
      <c r="D46" s="138" t="str">
        <f ca="1">IFERROR(__xludf.DUMMYFUNCTION("""COMPUTED_VALUE"""),"General")</f>
        <v>General</v>
      </c>
      <c r="E46" s="139" t="str">
        <f ca="1">IFERROR(__xludf.DUMMYFUNCTION("""COMPUTED_VALUE"""),"Arianna Huffington's Thrive 01: Discovering Meditation and Sleep")</f>
        <v>Arianna Huffington's Thrive 01: Discovering Meditation and Sleep</v>
      </c>
      <c r="F46" s="141"/>
      <c r="G46" s="134"/>
      <c r="H46" s="134"/>
      <c r="I46" s="134"/>
    </row>
    <row r="47" spans="1:9" ht="33.75" customHeight="1" x14ac:dyDescent="0.15">
      <c r="A47" s="134"/>
      <c r="B47" s="134"/>
      <c r="C47" s="138">
        <f ca="1">IFERROR(__xludf.DUMMYFUNCTION("""COMPUTED_VALUE"""),2242044)</f>
        <v>2242044</v>
      </c>
      <c r="D47" s="138" t="str">
        <f ca="1">IFERROR(__xludf.DUMMYFUNCTION("""COMPUTED_VALUE"""),"General")</f>
        <v>General</v>
      </c>
      <c r="E47" s="139" t="str">
        <f ca="1">IFERROR(__xludf.DUMMYFUNCTION("""COMPUTED_VALUE"""),"The Leader’s Guide to Mindfulness (getAbstract Summary)")</f>
        <v>The Leader’s Guide to Mindfulness (getAbstract Summary)</v>
      </c>
      <c r="F47" s="141"/>
      <c r="G47" s="134"/>
      <c r="H47" s="134"/>
      <c r="I47" s="134"/>
    </row>
    <row r="48" spans="1:9" ht="33.75" customHeight="1" x14ac:dyDescent="0.15">
      <c r="A48" s="134"/>
      <c r="B48" s="134"/>
      <c r="C48" s="138">
        <f ca="1">IFERROR(__xludf.DUMMYFUNCTION("""COMPUTED_VALUE"""),519669)</f>
        <v>519669</v>
      </c>
      <c r="D48" s="138" t="str">
        <f ca="1">IFERROR(__xludf.DUMMYFUNCTION("""COMPUTED_VALUE"""),"General")</f>
        <v>General</v>
      </c>
      <c r="E48" s="153" t="str">
        <f ca="1">IFERROR(__xludf.DUMMYFUNCTION("""COMPUTED_VALUE"""),"Esther Dyson on Cultivating Health at Scale")</f>
        <v>Esther Dyson on Cultivating Health at Scale</v>
      </c>
      <c r="F48" s="152"/>
      <c r="G48" s="134"/>
      <c r="H48" s="134"/>
      <c r="I48" s="134"/>
    </row>
    <row r="49" spans="1:9" ht="33.75" customHeight="1" x14ac:dyDescent="0.15">
      <c r="A49" s="134"/>
      <c r="B49" s="134"/>
      <c r="C49" s="138">
        <f ca="1">IFERROR(__xludf.DUMMYFUNCTION("""COMPUTED_VALUE"""),669533)</f>
        <v>669533</v>
      </c>
      <c r="D49" s="138" t="str">
        <f ca="1">IFERROR(__xludf.DUMMYFUNCTION("""COMPUTED_VALUE"""),"General")</f>
        <v>General</v>
      </c>
      <c r="E49" s="153" t="str">
        <f ca="1">IFERROR(__xludf.DUMMYFUNCTION("""COMPUTED_VALUE"""),"Sheryl Sandberg and Adam Grant on Option B: Building Resilience")</f>
        <v>Sheryl Sandberg and Adam Grant on Option B: Building Resilience</v>
      </c>
      <c r="F49" s="152"/>
      <c r="G49" s="134"/>
      <c r="H49" s="134"/>
      <c r="I49" s="134"/>
    </row>
    <row r="50" spans="1:9" ht="33.75" customHeight="1" x14ac:dyDescent="0.15">
      <c r="A50" s="134"/>
      <c r="B50" s="134"/>
      <c r="C50" s="138">
        <f ca="1">IFERROR(__xludf.DUMMYFUNCTION("""COMPUTED_VALUE"""),604204)</f>
        <v>604204</v>
      </c>
      <c r="D50" s="138" t="str">
        <f ca="1">IFERROR(__xludf.DUMMYFUNCTION("""COMPUTED_VALUE"""),"General")</f>
        <v>General</v>
      </c>
      <c r="E50" s="153" t="str">
        <f ca="1">IFERROR(__xludf.DUMMYFUNCTION("""COMPUTED_VALUE"""),"Arianna Huffington's Thrive 02: Learning How to Unplug and Recharge")</f>
        <v>Arianna Huffington's Thrive 02: Learning How to Unplug and Recharge</v>
      </c>
      <c r="F50" s="152"/>
      <c r="G50" s="134"/>
      <c r="H50" s="134"/>
      <c r="I50" s="134"/>
    </row>
    <row r="51" spans="1:9" ht="33.75" customHeight="1" x14ac:dyDescent="0.15">
      <c r="A51" s="134"/>
      <c r="B51" s="134"/>
      <c r="C51" s="138">
        <f ca="1">IFERROR(__xludf.DUMMYFUNCTION("""COMPUTED_VALUE"""),604207)</f>
        <v>604207</v>
      </c>
      <c r="D51" s="138" t="str">
        <f ca="1">IFERROR(__xludf.DUMMYFUNCTION("""COMPUTED_VALUE"""),"General")</f>
        <v>General</v>
      </c>
      <c r="E51" s="153" t="str">
        <f ca="1">IFERROR(__xludf.DUMMYFUNCTION("""COMPUTED_VALUE"""),"Arianna Huffington's Thrive 05: Igniting Joy through Presence and Wonder")</f>
        <v>Arianna Huffington's Thrive 05: Igniting Joy through Presence and Wonder</v>
      </c>
      <c r="F51" s="152"/>
      <c r="G51" s="134"/>
      <c r="H51" s="134"/>
      <c r="I51" s="134"/>
    </row>
    <row r="52" spans="1:9" ht="33.75" customHeight="1" x14ac:dyDescent="0.15">
      <c r="A52" s="134"/>
      <c r="B52" s="134"/>
      <c r="C52" s="138">
        <f ca="1">IFERROR(__xludf.DUMMYFUNCTION("""COMPUTED_VALUE"""),2243048)</f>
        <v>2243048</v>
      </c>
      <c r="D52" s="138" t="str">
        <f ca="1">IFERROR(__xludf.DUMMYFUNCTION("""COMPUTED_VALUE"""),"General")</f>
        <v>General</v>
      </c>
      <c r="E52" s="153" t="str">
        <f ca="1">IFERROR(__xludf.DUMMYFUNCTION("""COMPUTED_VALUE"""),"The Courage Habit (getAbstract Summary)")</f>
        <v>The Courage Habit (getAbstract Summary)</v>
      </c>
      <c r="F52" s="152"/>
      <c r="G52" s="134"/>
      <c r="H52" s="134"/>
      <c r="I52" s="134"/>
    </row>
    <row r="53" spans="1:9" ht="33.75" customHeight="1" x14ac:dyDescent="0.15">
      <c r="A53" s="134"/>
      <c r="B53" s="134"/>
      <c r="C53" s="138">
        <f ca="1">IFERROR(__xludf.DUMMYFUNCTION("""COMPUTED_VALUE"""),2817014)</f>
        <v>2817014</v>
      </c>
      <c r="D53" s="138" t="str">
        <f ca="1">IFERROR(__xludf.DUMMYFUNCTION("""COMPUTED_VALUE"""),"General")</f>
        <v>General</v>
      </c>
      <c r="E53" s="153" t="str">
        <f ca="1">IFERROR(__xludf.DUMMYFUNCTION("""COMPUTED_VALUE"""),"Being the Best You: Self-Improvement Modeling")</f>
        <v>Being the Best You: Self-Improvement Modeling</v>
      </c>
      <c r="F53" s="152"/>
      <c r="G53" s="134"/>
      <c r="H53" s="134"/>
      <c r="I53" s="134"/>
    </row>
    <row r="54" spans="1:9" ht="33.75" customHeight="1" x14ac:dyDescent="0.15">
      <c r="A54" s="134"/>
      <c r="B54" s="134"/>
      <c r="C54" s="138">
        <f ca="1">IFERROR(__xludf.DUMMYFUNCTION("""COMPUTED_VALUE"""),2315933)</f>
        <v>2315933</v>
      </c>
      <c r="D54" s="138" t="str">
        <f ca="1">IFERROR(__xludf.DUMMYFUNCTION("""COMPUTED_VALUE"""),"General")</f>
        <v>General</v>
      </c>
      <c r="E54" s="153" t="str">
        <f ca="1">IFERROR(__xludf.DUMMYFUNCTION("""COMPUTED_VALUE"""),"Supporting Your Mental Health While Working from Home")</f>
        <v>Supporting Your Mental Health While Working from Home</v>
      </c>
      <c r="F54" s="152"/>
      <c r="G54" s="134"/>
      <c r="H54" s="134"/>
      <c r="I54" s="134"/>
    </row>
    <row r="55" spans="1:9" ht="33.75" customHeight="1" x14ac:dyDescent="0.15">
      <c r="A55" s="134"/>
      <c r="B55" s="134"/>
      <c r="C55" s="138">
        <f ca="1">IFERROR(__xludf.DUMMYFUNCTION("""COMPUTED_VALUE"""),2243049)</f>
        <v>2243049</v>
      </c>
      <c r="D55" s="138" t="str">
        <f ca="1">IFERROR(__xludf.DUMMYFUNCTION("""COMPUTED_VALUE"""),"General")</f>
        <v>General</v>
      </c>
      <c r="E55" s="153" t="str">
        <f ca="1">IFERROR(__xludf.DUMMYFUNCTION("""COMPUTED_VALUE"""),"Bring Your Human to Work (getAbstract Summary)")</f>
        <v>Bring Your Human to Work (getAbstract Summary)</v>
      </c>
      <c r="F55" s="152"/>
      <c r="G55" s="134"/>
      <c r="H55" s="134"/>
      <c r="I55" s="134"/>
    </row>
    <row r="56" spans="1:9" ht="33.75" customHeight="1" x14ac:dyDescent="0.15">
      <c r="A56" s="134"/>
      <c r="B56" s="134"/>
      <c r="C56" s="138">
        <f ca="1">IFERROR(__xludf.DUMMYFUNCTION("""COMPUTED_VALUE"""),721912)</f>
        <v>721912</v>
      </c>
      <c r="D56" s="138" t="str">
        <f ca="1">IFERROR(__xludf.DUMMYFUNCTION("""COMPUTED_VALUE"""),"General")</f>
        <v>General</v>
      </c>
      <c r="E56" s="153" t="str">
        <f ca="1">IFERROR(__xludf.DUMMYFUNCTION("""COMPUTED_VALUE"""),"Life Mastery: Achieving Happiness and Success")</f>
        <v>Life Mastery: Achieving Happiness and Success</v>
      </c>
      <c r="F56" s="152"/>
      <c r="G56" s="134"/>
      <c r="H56" s="134"/>
      <c r="I56" s="134"/>
    </row>
    <row r="57" spans="1:9" ht="33.75" customHeight="1" x14ac:dyDescent="0.15">
      <c r="A57" s="134"/>
      <c r="B57" s="134"/>
      <c r="C57" s="138">
        <f ca="1">IFERROR(__xludf.DUMMYFUNCTION("""COMPUTED_VALUE"""),151543)</f>
        <v>151543</v>
      </c>
      <c r="D57" s="138" t="str">
        <f ca="1">IFERROR(__xludf.DUMMYFUNCTION("""COMPUTED_VALUE"""),"General")</f>
        <v>General</v>
      </c>
      <c r="E57" s="153" t="str">
        <f ca="1">IFERROR(__xludf.DUMMYFUNCTION("""COMPUTED_VALUE"""),"Creating an Amazing Life")</f>
        <v>Creating an Amazing Life</v>
      </c>
      <c r="F57" s="152"/>
      <c r="G57" s="134"/>
      <c r="H57" s="134"/>
      <c r="I57" s="134"/>
    </row>
    <row r="58" spans="1:9" ht="33.75" customHeight="1" x14ac:dyDescent="0.15">
      <c r="A58" s="134"/>
      <c r="B58" s="134"/>
      <c r="C58" s="138">
        <f ca="1">IFERROR(__xludf.DUMMYFUNCTION("""COMPUTED_VALUE"""),604208)</f>
        <v>604208</v>
      </c>
      <c r="D58" s="138" t="str">
        <f ca="1">IFERROR(__xludf.DUMMYFUNCTION("""COMPUTED_VALUE"""),"General")</f>
        <v>General</v>
      </c>
      <c r="E58" s="153" t="str">
        <f ca="1">IFERROR(__xludf.DUMMYFUNCTION("""COMPUTED_VALUE"""),"Arianna Huffington's Thrive 06: Understanding the Link between Giving and Success")</f>
        <v>Arianna Huffington's Thrive 06: Understanding the Link between Giving and Success</v>
      </c>
      <c r="F58" s="152"/>
      <c r="G58" s="134"/>
      <c r="H58" s="134"/>
      <c r="I58" s="134"/>
    </row>
    <row r="59" spans="1:9" ht="33.75" customHeight="1" x14ac:dyDescent="0.15">
      <c r="A59" s="134"/>
      <c r="B59" s="134"/>
      <c r="C59" s="138">
        <f ca="1">IFERROR(__xludf.DUMMYFUNCTION("""COMPUTED_VALUE"""),426767)</f>
        <v>426767</v>
      </c>
      <c r="D59" s="138" t="str">
        <f ca="1">IFERROR(__xludf.DUMMYFUNCTION("""COMPUTED_VALUE"""),"General")</f>
        <v>General</v>
      </c>
      <c r="E59" s="153" t="str">
        <f ca="1">IFERROR(__xludf.DUMMYFUNCTION("""COMPUTED_VALUE"""),"Happiness Tips")</f>
        <v>Happiness Tips</v>
      </c>
      <c r="F59" s="152"/>
      <c r="G59" s="134"/>
      <c r="H59" s="134"/>
      <c r="I59" s="134"/>
    </row>
    <row r="60" spans="1:9" ht="33.75" customHeight="1" x14ac:dyDescent="0.15">
      <c r="A60" s="134"/>
      <c r="B60" s="134"/>
      <c r="C60" s="138">
        <f ca="1">IFERROR(__xludf.DUMMYFUNCTION("""COMPUTED_VALUE"""),373786)</f>
        <v>373786</v>
      </c>
      <c r="D60" s="138" t="str">
        <f ca="1">IFERROR(__xludf.DUMMYFUNCTION("""COMPUTED_VALUE"""),"General")</f>
        <v>General</v>
      </c>
      <c r="E60" s="153" t="str">
        <f ca="1">IFERROR(__xludf.DUMMYFUNCTION("""COMPUTED_VALUE"""),"Learning to Say No")</f>
        <v>Learning to Say No</v>
      </c>
      <c r="F60" s="152"/>
      <c r="G60" s="134"/>
      <c r="H60" s="134"/>
      <c r="I60" s="134"/>
    </row>
    <row r="61" spans="1:9" ht="33.75" customHeight="1" x14ac:dyDescent="0.15">
      <c r="A61" s="134"/>
      <c r="B61" s="134"/>
      <c r="C61" s="138">
        <f ca="1">IFERROR(__xludf.DUMMYFUNCTION("""COMPUTED_VALUE"""),153829)</f>
        <v>153829</v>
      </c>
      <c r="D61" s="138" t="str">
        <f ca="1">IFERROR(__xludf.DUMMYFUNCTION("""COMPUTED_VALUE"""),"General")</f>
        <v>General</v>
      </c>
      <c r="E61" s="153" t="str">
        <f ca="1">IFERROR(__xludf.DUMMYFUNCTION("""COMPUTED_VALUE"""),"Disrupting Yourself")</f>
        <v>Disrupting Yourself</v>
      </c>
      <c r="F61" s="152"/>
      <c r="G61" s="134"/>
      <c r="H61" s="134"/>
      <c r="I61" s="134"/>
    </row>
    <row r="62" spans="1:9" ht="33.75" customHeight="1" x14ac:dyDescent="0.15">
      <c r="A62" s="134"/>
      <c r="B62" s="134"/>
      <c r="C62" s="138">
        <f ca="1">IFERROR(__xludf.DUMMYFUNCTION("""COMPUTED_VALUE"""),2242037)</f>
        <v>2242037</v>
      </c>
      <c r="D62" s="138" t="str">
        <f ca="1">IFERROR(__xludf.DUMMYFUNCTION("""COMPUTED_VALUE"""),"General")</f>
        <v>General</v>
      </c>
      <c r="E62" s="153" t="str">
        <f ca="1">IFERROR(__xludf.DUMMYFUNCTION("""COMPUTED_VALUE"""),"The Internet Trap: Five Costs of Living Online (getAbstract Summary)")</f>
        <v>The Internet Trap: Five Costs of Living Online (getAbstract Summary)</v>
      </c>
      <c r="F62" s="152"/>
      <c r="G62" s="134"/>
      <c r="H62" s="134"/>
      <c r="I62" s="134"/>
    </row>
    <row r="63" spans="1:9" ht="33.75" customHeight="1" x14ac:dyDescent="0.15">
      <c r="A63" s="134"/>
      <c r="B63" s="134"/>
      <c r="C63" s="138">
        <f ca="1">IFERROR(__xludf.DUMMYFUNCTION("""COMPUTED_VALUE"""),2243046)</f>
        <v>2243046</v>
      </c>
      <c r="D63" s="138" t="str">
        <f ca="1">IFERROR(__xludf.DUMMYFUNCTION("""COMPUTED_VALUE"""),"General")</f>
        <v>General</v>
      </c>
      <c r="E63" s="153" t="str">
        <f ca="1">IFERROR(__xludf.DUMMYFUNCTION("""COMPUTED_VALUE"""),"The Five Thieves of Happiness (getAbstract Summary)")</f>
        <v>The Five Thieves of Happiness (getAbstract Summary)</v>
      </c>
      <c r="F63" s="152"/>
      <c r="G63" s="134"/>
      <c r="H63" s="134"/>
      <c r="I63" s="134"/>
    </row>
    <row r="64" spans="1:9" ht="33.75" customHeight="1" x14ac:dyDescent="0.15">
      <c r="A64" s="134"/>
      <c r="B64" s="134"/>
      <c r="C64" s="138">
        <f ca="1">IFERROR(__xludf.DUMMYFUNCTION("""COMPUTED_VALUE"""),2841516)</f>
        <v>2841516</v>
      </c>
      <c r="D64" s="138" t="str">
        <f ca="1">IFERROR(__xludf.DUMMYFUNCTION("""COMPUTED_VALUE"""),"General")</f>
        <v>General</v>
      </c>
      <c r="E64" s="153" t="str">
        <f ca="1">IFERROR(__xludf.DUMMYFUNCTION("""COMPUTED_VALUE"""),"Balancing Work and Life as a Work-from-Home Parent")</f>
        <v>Balancing Work and Life as a Work-from-Home Parent</v>
      </c>
      <c r="F64" s="152"/>
      <c r="G64" s="134"/>
      <c r="H64" s="134"/>
      <c r="I64" s="134"/>
    </row>
    <row r="65" spans="1:9" ht="33.75" customHeight="1" x14ac:dyDescent="0.15">
      <c r="A65" s="134"/>
      <c r="B65" s="134"/>
      <c r="C65" s="138">
        <f ca="1">IFERROR(__xludf.DUMMYFUNCTION("""COMPUTED_VALUE"""),2833081)</f>
        <v>2833081</v>
      </c>
      <c r="D65" s="138" t="str">
        <f ca="1">IFERROR(__xludf.DUMMYFUNCTION("""COMPUTED_VALUE"""),"General")</f>
        <v>General</v>
      </c>
      <c r="E65" s="153" t="str">
        <f ca="1">IFERROR(__xludf.DUMMYFUNCTION("""COMPUTED_VALUE"""),"Essentials of Mindfulness and Compassion with Scott Shute")</f>
        <v>Essentials of Mindfulness and Compassion with Scott Shute</v>
      </c>
      <c r="F65" s="152"/>
      <c r="G65" s="134"/>
      <c r="H65" s="134"/>
      <c r="I65" s="134"/>
    </row>
    <row r="66" spans="1:9" ht="33.75" customHeight="1" x14ac:dyDescent="0.15">
      <c r="A66" s="134"/>
      <c r="B66" s="134"/>
      <c r="C66" s="138">
        <f ca="1">IFERROR(__xludf.DUMMYFUNCTION("""COMPUTED_VALUE"""),2822423)</f>
        <v>2822423</v>
      </c>
      <c r="D66" s="138" t="str">
        <f ca="1">IFERROR(__xludf.DUMMYFUNCTION("""COMPUTED_VALUE"""),"General")</f>
        <v>General</v>
      </c>
      <c r="E66" s="153" t="str">
        <f ca="1">IFERROR(__xludf.DUMMYFUNCTION("""COMPUTED_VALUE"""),"How to Manage Feeling Overwhelmed")</f>
        <v>How to Manage Feeling Overwhelmed</v>
      </c>
      <c r="F66" s="152"/>
      <c r="G66" s="134"/>
      <c r="H66" s="134"/>
      <c r="I66" s="134"/>
    </row>
    <row r="67" spans="1:9" ht="33.75" customHeight="1" x14ac:dyDescent="0.15">
      <c r="A67" s="134"/>
      <c r="B67" s="134"/>
      <c r="C67" s="138">
        <f ca="1">IFERROR(__xludf.DUMMYFUNCTION("""COMPUTED_VALUE"""),704110)</f>
        <v>704110</v>
      </c>
      <c r="D67" s="138" t="str">
        <f ca="1">IFERROR(__xludf.DUMMYFUNCTION("""COMPUTED_VALUE"""),"General")</f>
        <v>General</v>
      </c>
      <c r="E67" s="153" t="str">
        <f ca="1">IFERROR(__xludf.DUMMYFUNCTION("""COMPUTED_VALUE"""),"Confronting Bias: Thriving Across Our Differences")</f>
        <v>Confronting Bias: Thriving Across Our Differences</v>
      </c>
      <c r="F67" s="152"/>
      <c r="G67" s="134"/>
      <c r="H67" s="134"/>
      <c r="I67" s="134"/>
    </row>
    <row r="68" spans="1:9" ht="33.75" customHeight="1" x14ac:dyDescent="0.15">
      <c r="A68" s="134"/>
      <c r="B68" s="134"/>
      <c r="C68" s="138">
        <f ca="1">IFERROR(__xludf.DUMMYFUNCTION("""COMPUTED_VALUE"""),604205)</f>
        <v>604205</v>
      </c>
      <c r="D68" s="138" t="str">
        <f ca="1">IFERROR(__xludf.DUMMYFUNCTION("""COMPUTED_VALUE"""),"General")</f>
        <v>General</v>
      </c>
      <c r="E68" s="153" t="str">
        <f ca="1">IFERROR(__xludf.DUMMYFUNCTION("""COMPUTED_VALUE"""),"Arianna Huffington's Thrive 03: Setting Priorities and Letting Go")</f>
        <v>Arianna Huffington's Thrive 03: Setting Priorities and Letting Go</v>
      </c>
      <c r="F68" s="152"/>
      <c r="G68" s="134"/>
      <c r="H68" s="134"/>
      <c r="I68" s="134"/>
    </row>
    <row r="69" spans="1:9" ht="33.75" customHeight="1" x14ac:dyDescent="0.15">
      <c r="A69" s="134"/>
      <c r="B69" s="134"/>
      <c r="C69" s="138">
        <f ca="1">IFERROR(__xludf.DUMMYFUNCTION("""COMPUTED_VALUE"""),751311)</f>
        <v>751311</v>
      </c>
      <c r="D69" s="138" t="str">
        <f ca="1">IFERROR(__xludf.DUMMYFUNCTION("""COMPUTED_VALUE"""),"General")</f>
        <v>General</v>
      </c>
      <c r="E69" s="153" t="str">
        <f ca="1">IFERROR(__xludf.DUMMYFUNCTION("""COMPUTED_VALUE"""),"Managing Depression in the Workplace")</f>
        <v>Managing Depression in the Workplace</v>
      </c>
      <c r="F69" s="152"/>
      <c r="G69" s="134"/>
      <c r="H69" s="134"/>
      <c r="I69" s="134"/>
    </row>
    <row r="70" spans="1:9" ht="33.75" customHeight="1" x14ac:dyDescent="0.15">
      <c r="A70" s="134"/>
      <c r="B70" s="134"/>
      <c r="C70" s="138">
        <f ca="1">IFERROR(__xludf.DUMMYFUNCTION("""COMPUTED_VALUE"""),145310)</f>
        <v>145310</v>
      </c>
      <c r="D70" s="138" t="str">
        <f ca="1">IFERROR(__xludf.DUMMYFUNCTION("""COMPUTED_VALUE"""),"General")</f>
        <v>General</v>
      </c>
      <c r="E70" s="153" t="str">
        <f ca="1">IFERROR(__xludf.DUMMYFUNCTION("""COMPUTED_VALUE"""),"Balancing Work and Life")</f>
        <v>Balancing Work and Life</v>
      </c>
      <c r="F70" s="152"/>
      <c r="G70" s="134"/>
      <c r="H70" s="134"/>
      <c r="I70" s="134"/>
    </row>
    <row r="71" spans="1:9" ht="33.75" customHeight="1" x14ac:dyDescent="0.15">
      <c r="A71" s="134"/>
      <c r="B71" s="134"/>
      <c r="C71" s="138">
        <f ca="1">IFERROR(__xludf.DUMMYFUNCTION("""COMPUTED_VALUE"""),604206)</f>
        <v>604206</v>
      </c>
      <c r="D71" s="138" t="str">
        <f ca="1">IFERROR(__xludf.DUMMYFUNCTION("""COMPUTED_VALUE"""),"General")</f>
        <v>General</v>
      </c>
      <c r="E71" s="153" t="str">
        <f ca="1">IFERROR(__xludf.DUMMYFUNCTION("""COMPUTED_VALUE"""),"Arianna Huffington's Thrive 04: Facing Challenges with Gratitude and Forgiveness")</f>
        <v>Arianna Huffington's Thrive 04: Facing Challenges with Gratitude and Forgiveness</v>
      </c>
      <c r="F71" s="152"/>
      <c r="G71" s="134"/>
      <c r="H71" s="134"/>
      <c r="I71" s="134"/>
    </row>
    <row r="72" spans="1:9" ht="33.75" customHeight="1" x14ac:dyDescent="0.15">
      <c r="A72" s="134"/>
      <c r="B72" s="134"/>
      <c r="C72" s="138">
        <f ca="1">IFERROR(__xludf.DUMMYFUNCTION("""COMPUTED_VALUE"""),786350)</f>
        <v>786350</v>
      </c>
      <c r="D72" s="138" t="str">
        <f ca="1">IFERROR(__xludf.DUMMYFUNCTION("""COMPUTED_VALUE"""),"General")</f>
        <v>General</v>
      </c>
      <c r="E72" s="153" t="str">
        <f ca="1">IFERROR(__xludf.DUMMYFUNCTION("""COMPUTED_VALUE"""),"Recharge Your Energy for Peak Performance")</f>
        <v>Recharge Your Energy for Peak Performance</v>
      </c>
      <c r="F72" s="152"/>
      <c r="G72" s="134"/>
      <c r="H72" s="134"/>
      <c r="I72" s="134"/>
    </row>
    <row r="73" spans="1:9" ht="33.75" customHeight="1" x14ac:dyDescent="0.15">
      <c r="A73" s="134"/>
      <c r="B73" s="134"/>
      <c r="C73" s="138">
        <f ca="1">IFERROR(__xludf.DUMMYFUNCTION("""COMPUTED_VALUE"""),802831)</f>
        <v>802831</v>
      </c>
      <c r="D73" s="138" t="str">
        <f ca="1">IFERROR(__xludf.DUMMYFUNCTION("""COMPUTED_VALUE"""),"General")</f>
        <v>General</v>
      </c>
      <c r="E73" s="153" t="str">
        <f ca="1">IFERROR(__xludf.DUMMYFUNCTION("""COMPUTED_VALUE"""),"Managing Anxiety in the Workplace")</f>
        <v>Managing Anxiety in the Workplace</v>
      </c>
      <c r="F73" s="152"/>
      <c r="G73" s="134"/>
      <c r="H73" s="134"/>
      <c r="I73" s="134"/>
    </row>
    <row r="74" spans="1:9" ht="33.75" customHeight="1" x14ac:dyDescent="0.15">
      <c r="A74" s="134"/>
      <c r="B74" s="134"/>
      <c r="C74" s="138">
        <f ca="1">IFERROR(__xludf.DUMMYFUNCTION("""COMPUTED_VALUE"""),794115)</f>
        <v>794115</v>
      </c>
      <c r="D74" s="138" t="str">
        <f ca="1">IFERROR(__xludf.DUMMYFUNCTION("""COMPUTED_VALUE"""),"General")</f>
        <v>General</v>
      </c>
      <c r="E74" s="153" t="str">
        <f ca="1">IFERROR(__xludf.DUMMYFUNCTION("""COMPUTED_VALUE"""),"Mindfulness Practices")</f>
        <v>Mindfulness Practices</v>
      </c>
      <c r="F74" s="152"/>
      <c r="G74" s="134"/>
      <c r="H74" s="134"/>
      <c r="I74" s="134"/>
    </row>
    <row r="75" spans="1:9" ht="15" x14ac:dyDescent="0.15">
      <c r="A75" s="134"/>
      <c r="B75" s="134"/>
      <c r="C75" s="138">
        <f ca="1">IFERROR(__xludf.DUMMYFUNCTION("""COMPUTED_VALUE"""),5015874)</f>
        <v>5015874</v>
      </c>
      <c r="D75" s="138" t="str">
        <f ca="1">IFERROR(__xludf.DUMMYFUNCTION("""COMPUTED_VALUE"""),"Intermediate")</f>
        <v>Intermediate</v>
      </c>
      <c r="E75" s="153" t="str">
        <f ca="1">IFERROR(__xludf.DUMMYFUNCTION("""COMPUTED_VALUE"""),"The Culture Code (Blinkist Summary)")</f>
        <v>The Culture Code (Blinkist Summary)</v>
      </c>
      <c r="F75" s="152"/>
      <c r="G75" s="134"/>
      <c r="H75" s="134"/>
      <c r="I75" s="134"/>
    </row>
    <row r="76" spans="1:9" ht="30" x14ac:dyDescent="0.15">
      <c r="A76" s="134"/>
      <c r="B76" s="134"/>
      <c r="C76" s="138">
        <f ca="1">IFERROR(__xludf.DUMMYFUNCTION("""COMPUTED_VALUE"""),636109)</f>
        <v>636109</v>
      </c>
      <c r="D76" s="138" t="str">
        <f ca="1">IFERROR(__xludf.DUMMYFUNCTION("""COMPUTED_VALUE"""),"Intermediate")</f>
        <v>Intermediate</v>
      </c>
      <c r="E76" s="153" t="str">
        <f ca="1">IFERROR(__xludf.DUMMYFUNCTION("""COMPUTED_VALUE"""),"Thriving @ Work: Leveraging the Connection between Well-Being and Productivity")</f>
        <v>Thriving @ Work: Leveraging the Connection between Well-Being and Productivity</v>
      </c>
      <c r="F76" s="152"/>
      <c r="G76" s="134"/>
      <c r="H76" s="134"/>
      <c r="I76" s="134"/>
    </row>
    <row r="77" spans="1:9" ht="30" x14ac:dyDescent="0.15">
      <c r="A77" s="134"/>
      <c r="B77" s="134"/>
      <c r="C77" s="138">
        <f ca="1">IFERROR(__xludf.DUMMYFUNCTION("""COMPUTED_VALUE"""),5015871)</f>
        <v>5015871</v>
      </c>
      <c r="D77" s="138" t="str">
        <f ca="1">IFERROR(__xludf.DUMMYFUNCTION("""COMPUTED_VALUE"""),"Intermediate")</f>
        <v>Intermediate</v>
      </c>
      <c r="E77" s="153" t="str">
        <f ca="1">IFERROR(__xludf.DUMMYFUNCTION("""COMPUTED_VALUE"""),"When: The Scientific Secrets of Perfect Timing (Blinkist Summary)")</f>
        <v>When: The Scientific Secrets of Perfect Timing (Blinkist Summary)</v>
      </c>
      <c r="F77" s="152"/>
      <c r="G77" s="134"/>
      <c r="H77" s="134"/>
      <c r="I77" s="134"/>
    </row>
    <row r="78" spans="1:9" ht="30" x14ac:dyDescent="0.15">
      <c r="A78" s="134"/>
      <c r="B78" s="134"/>
      <c r="C78" s="138">
        <f ca="1">IFERROR(__xludf.DUMMYFUNCTION("""COMPUTED_VALUE"""),5015870)</f>
        <v>5015870</v>
      </c>
      <c r="D78" s="138" t="str">
        <f ca="1">IFERROR(__xludf.DUMMYFUNCTION("""COMPUTED_VALUE"""),"Intermediate")</f>
        <v>Intermediate</v>
      </c>
      <c r="E78" s="153" t="str">
        <f ca="1">IFERROR(__xludf.DUMMYFUNCTION("""COMPUTED_VALUE"""),"Unsubscribe: How to Kill Email Anxiety Avoid Distractions and Get Real Work Done (Blinkist Summary)")</f>
        <v>Unsubscribe: How to Kill Email Anxiety Avoid Distractions and Get Real Work Done (Blinkist Summary)</v>
      </c>
      <c r="F78" s="152"/>
      <c r="G78" s="134"/>
      <c r="H78" s="134"/>
      <c r="I78" s="134"/>
    </row>
    <row r="79" spans="1:9" ht="15" x14ac:dyDescent="0.15">
      <c r="A79" s="134"/>
      <c r="B79" s="134"/>
      <c r="C79" s="138">
        <f ca="1">IFERROR(__xludf.DUMMYFUNCTION("""COMPUTED_VALUE"""),769279)</f>
        <v>769279</v>
      </c>
      <c r="D79" s="138" t="str">
        <f ca="1">IFERROR(__xludf.DUMMYFUNCTION("""COMPUTED_VALUE"""),"Intermediate")</f>
        <v>Intermediate</v>
      </c>
      <c r="E79" s="153" t="str">
        <f ca="1">IFERROR(__xludf.DUMMYFUNCTION("""COMPUTED_VALUE"""),"Driving Workplace Happiness")</f>
        <v>Driving Workplace Happiness</v>
      </c>
      <c r="F79" s="152"/>
      <c r="G79" s="134"/>
      <c r="H79" s="134"/>
      <c r="I79" s="134"/>
    </row>
    <row r="80" spans="1:9" ht="15" x14ac:dyDescent="0.15">
      <c r="A80" s="134"/>
      <c r="B80" s="134"/>
      <c r="C80" s="138">
        <f ca="1">IFERROR(__xludf.DUMMYFUNCTION("""COMPUTED_VALUE"""),713374)</f>
        <v>713374</v>
      </c>
      <c r="D80" s="138" t="str">
        <f ca="1">IFERROR(__xludf.DUMMYFUNCTION("""COMPUTED_VALUE"""),"Intermediate")</f>
        <v>Intermediate</v>
      </c>
      <c r="E80" s="153" t="str">
        <f ca="1">IFERROR(__xludf.DUMMYFUNCTION("""COMPUTED_VALUE"""),"Balancing Multiple Roles as a Leader")</f>
        <v>Balancing Multiple Roles as a Leader</v>
      </c>
      <c r="F80" s="152"/>
      <c r="G80" s="134"/>
      <c r="H80" s="134"/>
      <c r="I80" s="134"/>
    </row>
    <row r="81" spans="1:9" ht="15" x14ac:dyDescent="0.15">
      <c r="A81" s="144"/>
      <c r="B81" s="144"/>
      <c r="C81" s="145">
        <f ca="1">IFERROR(__xludf.DUMMYFUNCTION("""COMPUTED_VALUE"""),5015879)</f>
        <v>5015879</v>
      </c>
      <c r="D81" s="145" t="str">
        <f ca="1">IFERROR(__xludf.DUMMYFUNCTION("""COMPUTED_VALUE"""),"Intermediate")</f>
        <v>Intermediate</v>
      </c>
      <c r="E81" s="159" t="str">
        <f ca="1">IFERROR(__xludf.DUMMYFUNCTION("""COMPUTED_VALUE"""),"How to Be a Positive Leader (Blinkist Summary)")</f>
        <v>How to Be a Positive Leader (Blinkist Summary)</v>
      </c>
      <c r="F81" s="155"/>
      <c r="G81" s="144"/>
      <c r="H81" s="144"/>
      <c r="I81" s="144"/>
    </row>
    <row r="82" spans="1:9" ht="15" x14ac:dyDescent="0.15">
      <c r="A82" s="144"/>
      <c r="B82" s="144"/>
      <c r="C82" s="145">
        <f ca="1">IFERROR(__xludf.DUMMYFUNCTION("""COMPUTED_VALUE"""),2802463)</f>
        <v>2802463</v>
      </c>
      <c r="D82" s="145" t="str">
        <f ca="1">IFERROR(__xludf.DUMMYFUNCTION("""COMPUTED_VALUE"""),"Intermediate")</f>
        <v>Intermediate</v>
      </c>
      <c r="E82" s="159" t="str">
        <f ca="1">IFERROR(__xludf.DUMMYFUNCTION("""COMPUTED_VALUE"""),"Ways to Build a Winning Team: Trust Freedom and Play")</f>
        <v>Ways to Build a Winning Team: Trust Freedom and Play</v>
      </c>
      <c r="F82" s="155"/>
      <c r="G82" s="144"/>
      <c r="H82" s="144"/>
      <c r="I82" s="144"/>
    </row>
    <row r="83" spans="1:9" ht="14" x14ac:dyDescent="0.15">
      <c r="A83" s="144"/>
      <c r="B83" s="144"/>
      <c r="C83" s="145"/>
      <c r="D83" s="145"/>
      <c r="E83" s="154"/>
      <c r="F83" s="155"/>
      <c r="G83" s="144"/>
      <c r="H83" s="144"/>
      <c r="I83" s="144"/>
    </row>
    <row r="84" spans="1:9" ht="14" x14ac:dyDescent="0.15">
      <c r="A84" s="144"/>
      <c r="B84" s="144"/>
      <c r="C84" s="145"/>
      <c r="D84" s="145"/>
      <c r="E84" s="154"/>
      <c r="F84" s="155"/>
      <c r="G84" s="144"/>
      <c r="H84" s="144"/>
      <c r="I84" s="144"/>
    </row>
    <row r="85" spans="1:9" ht="14" x14ac:dyDescent="0.15">
      <c r="A85" s="144"/>
      <c r="B85" s="144"/>
      <c r="C85" s="145"/>
      <c r="D85" s="145"/>
      <c r="E85" s="154"/>
      <c r="F85" s="155"/>
      <c r="G85" s="144"/>
      <c r="H85" s="144"/>
      <c r="I85" s="144"/>
    </row>
    <row r="86" spans="1:9" ht="14" x14ac:dyDescent="0.15">
      <c r="A86" s="144"/>
      <c r="B86" s="144"/>
      <c r="C86" s="145"/>
      <c r="D86" s="145"/>
      <c r="E86" s="154"/>
      <c r="F86" s="155"/>
      <c r="G86" s="144"/>
      <c r="H86" s="144"/>
      <c r="I86" s="144"/>
    </row>
    <row r="87" spans="1:9" ht="14" x14ac:dyDescent="0.15">
      <c r="A87" s="144"/>
      <c r="B87" s="144"/>
      <c r="C87" s="145"/>
      <c r="D87" s="145"/>
      <c r="E87" s="154"/>
      <c r="F87" s="155"/>
      <c r="G87" s="144"/>
      <c r="H87" s="144"/>
      <c r="I87" s="144"/>
    </row>
    <row r="88" spans="1:9" ht="14" x14ac:dyDescent="0.15">
      <c r="A88" s="144"/>
      <c r="B88" s="144"/>
      <c r="C88" s="145"/>
      <c r="D88" s="145"/>
      <c r="E88" s="154"/>
      <c r="F88" s="155"/>
      <c r="G88" s="144"/>
      <c r="H88" s="144"/>
      <c r="I88" s="144"/>
    </row>
    <row r="89" spans="1:9" ht="14" x14ac:dyDescent="0.15">
      <c r="A89" s="144"/>
      <c r="B89" s="144"/>
      <c r="C89" s="145"/>
      <c r="D89" s="145"/>
      <c r="E89" s="154"/>
      <c r="F89" s="155"/>
      <c r="G89" s="144"/>
      <c r="H89" s="144"/>
      <c r="I89" s="144"/>
    </row>
    <row r="90" spans="1:9" ht="14" x14ac:dyDescent="0.15">
      <c r="A90" s="144"/>
      <c r="B90" s="144"/>
      <c r="C90" s="145"/>
      <c r="D90" s="145"/>
      <c r="E90" s="154"/>
      <c r="F90" s="155"/>
      <c r="G90" s="144"/>
      <c r="H90" s="144"/>
      <c r="I90" s="144"/>
    </row>
    <row r="91" spans="1:9" ht="14" x14ac:dyDescent="0.15">
      <c r="A91" s="144"/>
      <c r="B91" s="144"/>
      <c r="C91" s="145"/>
      <c r="D91" s="145"/>
      <c r="E91" s="154"/>
      <c r="F91" s="155"/>
      <c r="G91" s="144"/>
      <c r="H91" s="144"/>
      <c r="I91" s="144"/>
    </row>
    <row r="92" spans="1:9" ht="14" x14ac:dyDescent="0.15">
      <c r="A92" s="144"/>
      <c r="B92" s="144"/>
      <c r="C92" s="145"/>
      <c r="D92" s="145"/>
      <c r="E92" s="154"/>
      <c r="F92" s="155"/>
      <c r="G92" s="144"/>
      <c r="H92" s="144"/>
      <c r="I92" s="144"/>
    </row>
    <row r="93" spans="1:9" ht="14" x14ac:dyDescent="0.15">
      <c r="A93" s="144"/>
      <c r="B93" s="144"/>
      <c r="C93" s="145"/>
      <c r="D93" s="145"/>
      <c r="E93" s="154"/>
      <c r="F93" s="155"/>
      <c r="G93" s="144"/>
      <c r="H93" s="144"/>
      <c r="I93" s="144"/>
    </row>
    <row r="94" spans="1:9" ht="14" x14ac:dyDescent="0.15">
      <c r="A94" s="144"/>
      <c r="B94" s="144"/>
      <c r="C94" s="145"/>
      <c r="D94" s="145"/>
      <c r="E94" s="154"/>
      <c r="F94" s="155"/>
      <c r="G94" s="144"/>
      <c r="H94" s="144"/>
      <c r="I94" s="144"/>
    </row>
    <row r="95" spans="1:9" ht="14" x14ac:dyDescent="0.15">
      <c r="A95" s="144"/>
      <c r="B95" s="144"/>
      <c r="C95" s="145"/>
      <c r="D95" s="145"/>
      <c r="E95" s="154"/>
      <c r="F95" s="155"/>
      <c r="G95" s="144"/>
      <c r="H95" s="144"/>
      <c r="I95" s="144"/>
    </row>
    <row r="96" spans="1:9" ht="14" x14ac:dyDescent="0.15">
      <c r="A96" s="144"/>
      <c r="B96" s="144"/>
      <c r="C96" s="145"/>
      <c r="D96" s="145"/>
      <c r="E96" s="154"/>
      <c r="F96" s="155"/>
      <c r="G96" s="144"/>
      <c r="H96" s="144"/>
      <c r="I96" s="144"/>
    </row>
    <row r="97" spans="1:9" ht="14" x14ac:dyDescent="0.15">
      <c r="A97" s="144"/>
      <c r="B97" s="144"/>
      <c r="C97" s="145"/>
      <c r="D97" s="145"/>
      <c r="E97" s="154"/>
      <c r="F97" s="155"/>
      <c r="G97" s="144"/>
      <c r="H97" s="144"/>
      <c r="I97" s="144"/>
    </row>
    <row r="98" spans="1:9" ht="14" x14ac:dyDescent="0.15">
      <c r="A98" s="144"/>
      <c r="B98" s="144"/>
      <c r="C98" s="145"/>
      <c r="D98" s="145"/>
      <c r="E98" s="154"/>
      <c r="F98" s="155"/>
      <c r="G98" s="144"/>
      <c r="H98" s="144"/>
      <c r="I98" s="144"/>
    </row>
    <row r="99" spans="1:9" ht="14" x14ac:dyDescent="0.15">
      <c r="A99" s="144"/>
      <c r="B99" s="144"/>
      <c r="C99" s="145"/>
      <c r="D99" s="145"/>
      <c r="E99" s="154"/>
      <c r="F99" s="155"/>
      <c r="G99" s="144"/>
      <c r="H99" s="144"/>
      <c r="I99" s="144"/>
    </row>
    <row r="100" spans="1:9" ht="14" x14ac:dyDescent="0.15">
      <c r="A100" s="144"/>
      <c r="B100" s="144"/>
      <c r="C100" s="145"/>
      <c r="D100" s="145"/>
      <c r="E100" s="154"/>
      <c r="F100" s="155"/>
      <c r="G100" s="144"/>
      <c r="H100" s="144"/>
      <c r="I100" s="144"/>
    </row>
    <row r="101" spans="1:9" ht="14" x14ac:dyDescent="0.15">
      <c r="A101" s="144"/>
      <c r="B101" s="144"/>
      <c r="C101" s="145"/>
      <c r="D101" s="145"/>
      <c r="E101" s="154"/>
      <c r="F101" s="155"/>
      <c r="G101" s="144"/>
      <c r="H101" s="144"/>
      <c r="I101" s="144"/>
    </row>
    <row r="102" spans="1:9" ht="14" x14ac:dyDescent="0.15">
      <c r="A102" s="144"/>
      <c r="B102" s="144"/>
      <c r="C102" s="145"/>
      <c r="D102" s="145"/>
      <c r="E102" s="154"/>
      <c r="F102" s="155"/>
      <c r="G102" s="144"/>
      <c r="H102" s="144"/>
      <c r="I102" s="144"/>
    </row>
    <row r="103" spans="1:9" ht="14" x14ac:dyDescent="0.15">
      <c r="A103" s="144"/>
      <c r="B103" s="144"/>
      <c r="C103" s="145"/>
      <c r="D103" s="145"/>
      <c r="E103" s="154"/>
      <c r="F103" s="155"/>
      <c r="G103" s="144"/>
      <c r="H103" s="144"/>
      <c r="I103" s="144"/>
    </row>
    <row r="104" spans="1:9" ht="14" x14ac:dyDescent="0.15">
      <c r="A104" s="144"/>
      <c r="B104" s="144"/>
      <c r="C104" s="145"/>
      <c r="D104" s="145"/>
      <c r="E104" s="154"/>
      <c r="F104" s="155"/>
      <c r="G104" s="144"/>
      <c r="H104" s="144"/>
      <c r="I104" s="144"/>
    </row>
    <row r="105" spans="1:9" ht="14" x14ac:dyDescent="0.15">
      <c r="A105" s="144"/>
      <c r="B105" s="144"/>
      <c r="C105" s="145"/>
      <c r="D105" s="145"/>
      <c r="E105" s="154"/>
      <c r="F105" s="155"/>
      <c r="G105" s="144"/>
      <c r="H105" s="144"/>
      <c r="I105" s="144"/>
    </row>
    <row r="106" spans="1:9" ht="14" x14ac:dyDescent="0.15">
      <c r="A106" s="144"/>
      <c r="B106" s="144"/>
      <c r="C106" s="145"/>
      <c r="D106" s="145"/>
      <c r="E106" s="154"/>
      <c r="F106" s="155"/>
      <c r="G106" s="144"/>
      <c r="H106" s="144"/>
      <c r="I106" s="144"/>
    </row>
    <row r="107" spans="1:9" ht="14" x14ac:dyDescent="0.15">
      <c r="A107" s="144"/>
      <c r="B107" s="144"/>
      <c r="C107" s="145"/>
      <c r="D107" s="145"/>
      <c r="E107" s="154"/>
      <c r="F107" s="155"/>
      <c r="G107" s="144"/>
      <c r="H107" s="144"/>
      <c r="I107" s="144"/>
    </row>
    <row r="108" spans="1:9" ht="14" x14ac:dyDescent="0.15">
      <c r="A108" s="144"/>
      <c r="B108" s="144"/>
      <c r="C108" s="145"/>
      <c r="D108" s="145"/>
      <c r="E108" s="154"/>
      <c r="F108" s="155"/>
      <c r="G108" s="144"/>
      <c r="H108" s="144"/>
      <c r="I108" s="144"/>
    </row>
    <row r="109" spans="1:9" ht="14" x14ac:dyDescent="0.15">
      <c r="A109" s="144"/>
      <c r="B109" s="144"/>
      <c r="C109" s="145"/>
      <c r="D109" s="145"/>
      <c r="E109" s="154"/>
      <c r="F109" s="155"/>
      <c r="G109" s="144"/>
      <c r="H109" s="144"/>
      <c r="I109" s="144"/>
    </row>
    <row r="110" spans="1:9" ht="14" x14ac:dyDescent="0.15">
      <c r="A110" s="144"/>
      <c r="B110" s="144"/>
      <c r="C110" s="145"/>
      <c r="D110" s="145"/>
      <c r="E110" s="154"/>
      <c r="F110" s="155"/>
      <c r="G110" s="144"/>
      <c r="H110" s="144"/>
      <c r="I110" s="144"/>
    </row>
    <row r="111" spans="1:9" ht="14" x14ac:dyDescent="0.15">
      <c r="A111" s="144"/>
      <c r="B111" s="144"/>
      <c r="C111" s="145"/>
      <c r="D111" s="145"/>
      <c r="E111" s="154"/>
      <c r="F111" s="155"/>
      <c r="G111" s="144"/>
      <c r="H111" s="144"/>
      <c r="I111" s="144"/>
    </row>
    <row r="112" spans="1:9" ht="14" x14ac:dyDescent="0.15">
      <c r="A112" s="144"/>
      <c r="B112" s="144"/>
      <c r="C112" s="145"/>
      <c r="D112" s="145"/>
      <c r="E112" s="154"/>
      <c r="F112" s="155"/>
      <c r="G112" s="144"/>
      <c r="H112" s="144"/>
      <c r="I112" s="144"/>
    </row>
    <row r="113" spans="1:9" ht="14" x14ac:dyDescent="0.15">
      <c r="A113" s="144"/>
      <c r="B113" s="144"/>
      <c r="C113" s="145"/>
      <c r="D113" s="145"/>
      <c r="E113" s="154"/>
      <c r="F113" s="155"/>
      <c r="G113" s="144"/>
      <c r="H113" s="144"/>
      <c r="I113" s="144"/>
    </row>
    <row r="114" spans="1:9" ht="14" x14ac:dyDescent="0.15">
      <c r="A114" s="144"/>
      <c r="B114" s="144"/>
      <c r="C114" s="145"/>
      <c r="D114" s="145"/>
      <c r="E114" s="154"/>
      <c r="F114" s="155"/>
      <c r="G114" s="144"/>
      <c r="H114" s="144"/>
      <c r="I114" s="144"/>
    </row>
    <row r="115" spans="1:9" ht="14" x14ac:dyDescent="0.15">
      <c r="A115" s="144"/>
      <c r="B115" s="144"/>
      <c r="C115" s="145"/>
      <c r="D115" s="145"/>
      <c r="E115" s="154"/>
      <c r="F115" s="155"/>
      <c r="G115" s="144"/>
      <c r="H115" s="144"/>
      <c r="I115" s="144"/>
    </row>
    <row r="116" spans="1:9" ht="14" x14ac:dyDescent="0.15">
      <c r="A116" s="144"/>
      <c r="B116" s="144"/>
      <c r="C116" s="145"/>
      <c r="D116" s="145"/>
      <c r="E116" s="154"/>
      <c r="F116" s="155"/>
      <c r="G116" s="144"/>
      <c r="H116" s="144"/>
      <c r="I116" s="144"/>
    </row>
    <row r="117" spans="1:9" ht="14" x14ac:dyDescent="0.15">
      <c r="A117" s="144"/>
      <c r="B117" s="144"/>
      <c r="C117" s="145"/>
      <c r="D117" s="145"/>
      <c r="E117" s="154"/>
      <c r="F117" s="155"/>
      <c r="G117" s="144"/>
      <c r="H117" s="144"/>
      <c r="I117" s="144"/>
    </row>
    <row r="118" spans="1:9" ht="14" x14ac:dyDescent="0.15">
      <c r="A118" s="144"/>
      <c r="B118" s="144"/>
      <c r="C118" s="145"/>
      <c r="D118" s="145"/>
      <c r="E118" s="154"/>
      <c r="F118" s="155"/>
      <c r="G118" s="144"/>
      <c r="H118" s="144"/>
      <c r="I118" s="144"/>
    </row>
    <row r="119" spans="1:9" ht="14" x14ac:dyDescent="0.15">
      <c r="A119" s="144"/>
      <c r="B119" s="144"/>
      <c r="C119" s="145"/>
      <c r="D119" s="145"/>
      <c r="E119" s="154"/>
      <c r="F119" s="155"/>
      <c r="G119" s="144"/>
      <c r="H119" s="144"/>
      <c r="I119" s="144"/>
    </row>
    <row r="120" spans="1:9" ht="14" x14ac:dyDescent="0.15">
      <c r="A120" s="144"/>
      <c r="B120" s="144"/>
      <c r="C120" s="145"/>
      <c r="D120" s="145"/>
      <c r="E120" s="154"/>
      <c r="F120" s="155"/>
      <c r="G120" s="144"/>
      <c r="H120" s="144"/>
      <c r="I120" s="144"/>
    </row>
    <row r="121" spans="1:9" ht="14" x14ac:dyDescent="0.15">
      <c r="A121" s="144"/>
      <c r="B121" s="144"/>
      <c r="C121" s="145"/>
      <c r="D121" s="145"/>
      <c r="E121" s="154"/>
      <c r="F121" s="155"/>
      <c r="G121" s="144"/>
      <c r="H121" s="144"/>
      <c r="I121" s="144"/>
    </row>
    <row r="122" spans="1:9" ht="14" x14ac:dyDescent="0.15">
      <c r="A122" s="144"/>
      <c r="B122" s="144"/>
      <c r="C122" s="145"/>
      <c r="D122" s="145"/>
      <c r="E122" s="154"/>
      <c r="F122" s="155"/>
      <c r="G122" s="144"/>
      <c r="H122" s="144"/>
      <c r="I122" s="144"/>
    </row>
    <row r="123" spans="1:9" ht="14" x14ac:dyDescent="0.15">
      <c r="A123" s="144"/>
      <c r="B123" s="144"/>
      <c r="C123" s="145"/>
      <c r="D123" s="145"/>
      <c r="E123" s="154"/>
      <c r="F123" s="155"/>
      <c r="G123" s="144"/>
      <c r="H123" s="144"/>
      <c r="I123" s="144"/>
    </row>
    <row r="124" spans="1:9" ht="14" x14ac:dyDescent="0.15">
      <c r="A124" s="144"/>
      <c r="B124" s="144"/>
      <c r="C124" s="145"/>
      <c r="D124" s="145"/>
      <c r="E124" s="154"/>
      <c r="F124" s="155"/>
      <c r="G124" s="144"/>
      <c r="H124" s="144"/>
      <c r="I124" s="144"/>
    </row>
    <row r="125" spans="1:9" ht="14" x14ac:dyDescent="0.15">
      <c r="A125" s="144"/>
      <c r="B125" s="144"/>
      <c r="C125" s="145"/>
      <c r="D125" s="145"/>
      <c r="E125" s="154"/>
      <c r="F125" s="155"/>
      <c r="G125" s="144"/>
      <c r="H125" s="144"/>
      <c r="I125" s="144"/>
    </row>
    <row r="126" spans="1:9" ht="14" x14ac:dyDescent="0.15">
      <c r="A126" s="144"/>
      <c r="B126" s="144"/>
      <c r="C126" s="145"/>
      <c r="D126" s="145"/>
      <c r="E126" s="154"/>
      <c r="F126" s="155"/>
      <c r="G126" s="144"/>
      <c r="H126" s="144"/>
      <c r="I126" s="144"/>
    </row>
    <row r="127" spans="1:9" ht="14" x14ac:dyDescent="0.15">
      <c r="A127" s="144"/>
      <c r="B127" s="144"/>
      <c r="C127" s="145"/>
      <c r="D127" s="145"/>
      <c r="E127" s="154"/>
      <c r="F127" s="155"/>
      <c r="G127" s="144"/>
      <c r="H127" s="144"/>
      <c r="I127" s="144"/>
    </row>
    <row r="128" spans="1:9" ht="14" x14ac:dyDescent="0.15">
      <c r="A128" s="144"/>
      <c r="B128" s="144"/>
      <c r="C128" s="145"/>
      <c r="D128" s="145"/>
      <c r="E128" s="154"/>
      <c r="F128" s="155"/>
      <c r="G128" s="144"/>
      <c r="H128" s="144"/>
      <c r="I128" s="144"/>
    </row>
    <row r="129" spans="1:9" ht="14" x14ac:dyDescent="0.15">
      <c r="A129" s="144"/>
      <c r="B129" s="144"/>
      <c r="C129" s="145"/>
      <c r="D129" s="145"/>
      <c r="E129" s="154"/>
      <c r="F129" s="155"/>
      <c r="G129" s="144"/>
      <c r="H129" s="144"/>
      <c r="I129" s="144"/>
    </row>
    <row r="130" spans="1:9" ht="14" x14ac:dyDescent="0.15">
      <c r="A130" s="144"/>
      <c r="B130" s="144"/>
      <c r="C130" s="145"/>
      <c r="D130" s="145"/>
      <c r="E130" s="154"/>
      <c r="F130" s="155"/>
      <c r="G130" s="144"/>
      <c r="H130" s="144"/>
      <c r="I130" s="144"/>
    </row>
    <row r="131" spans="1:9" ht="14" x14ac:dyDescent="0.15">
      <c r="A131" s="144"/>
      <c r="B131" s="144"/>
      <c r="C131" s="145"/>
      <c r="D131" s="145"/>
      <c r="E131" s="154"/>
      <c r="F131" s="155"/>
      <c r="G131" s="144"/>
      <c r="H131" s="144"/>
      <c r="I131" s="144"/>
    </row>
    <row r="132" spans="1:9" ht="14" x14ac:dyDescent="0.15">
      <c r="A132" s="144"/>
      <c r="B132" s="144"/>
      <c r="C132" s="145"/>
      <c r="D132" s="145"/>
      <c r="E132" s="154"/>
      <c r="F132" s="155"/>
      <c r="G132" s="144"/>
      <c r="H132" s="144"/>
      <c r="I132" s="144"/>
    </row>
    <row r="133" spans="1:9" ht="14" x14ac:dyDescent="0.15">
      <c r="A133" s="144"/>
      <c r="B133" s="144"/>
      <c r="C133" s="145"/>
      <c r="D133" s="145"/>
      <c r="E133" s="154"/>
      <c r="F133" s="155"/>
      <c r="G133" s="144"/>
      <c r="H133" s="144"/>
      <c r="I133" s="144"/>
    </row>
    <row r="134" spans="1:9" ht="14" x14ac:dyDescent="0.15">
      <c r="A134" s="144"/>
      <c r="B134" s="144"/>
      <c r="C134" s="145"/>
      <c r="D134" s="145"/>
      <c r="E134" s="154"/>
      <c r="F134" s="155"/>
      <c r="G134" s="144"/>
      <c r="H134" s="144"/>
      <c r="I134" s="144"/>
    </row>
    <row r="135" spans="1:9" ht="14" x14ac:dyDescent="0.15">
      <c r="A135" s="144"/>
      <c r="B135" s="144"/>
      <c r="C135" s="145"/>
      <c r="D135" s="145"/>
      <c r="E135" s="154"/>
      <c r="F135" s="155"/>
      <c r="G135" s="144"/>
      <c r="H135" s="144"/>
      <c r="I135" s="144"/>
    </row>
    <row r="136" spans="1:9" ht="14" x14ac:dyDescent="0.15">
      <c r="A136" s="144"/>
      <c r="B136" s="144"/>
      <c r="C136" s="145"/>
      <c r="D136" s="145"/>
      <c r="E136" s="154"/>
      <c r="F136" s="155"/>
      <c r="G136" s="144"/>
      <c r="H136" s="144"/>
      <c r="I136" s="144"/>
    </row>
    <row r="137" spans="1:9" ht="14" x14ac:dyDescent="0.15">
      <c r="A137" s="144"/>
      <c r="B137" s="144"/>
      <c r="C137" s="145"/>
      <c r="D137" s="145"/>
      <c r="E137" s="154"/>
      <c r="F137" s="155"/>
      <c r="G137" s="144"/>
      <c r="H137" s="144"/>
      <c r="I137" s="144"/>
    </row>
    <row r="138" spans="1:9" ht="14" x14ac:dyDescent="0.15">
      <c r="A138" s="144"/>
      <c r="B138" s="144"/>
      <c r="C138" s="145"/>
      <c r="D138" s="145"/>
      <c r="E138" s="154"/>
      <c r="F138" s="155"/>
      <c r="G138" s="144"/>
      <c r="H138" s="144"/>
      <c r="I138" s="144"/>
    </row>
    <row r="139" spans="1:9" ht="14" x14ac:dyDescent="0.15">
      <c r="A139" s="144"/>
      <c r="B139" s="144"/>
      <c r="C139" s="145"/>
      <c r="D139" s="145"/>
      <c r="E139" s="154"/>
      <c r="F139" s="155"/>
      <c r="G139" s="144"/>
      <c r="H139" s="144"/>
      <c r="I139" s="144"/>
    </row>
    <row r="140" spans="1:9" ht="14" x14ac:dyDescent="0.15">
      <c r="A140" s="144"/>
      <c r="B140" s="144"/>
      <c r="C140" s="145"/>
      <c r="D140" s="145"/>
      <c r="E140" s="154"/>
      <c r="F140" s="155"/>
      <c r="G140" s="144"/>
      <c r="H140" s="144"/>
      <c r="I140" s="144"/>
    </row>
    <row r="141" spans="1:9" ht="14" x14ac:dyDescent="0.15">
      <c r="A141" s="144"/>
      <c r="B141" s="144"/>
      <c r="C141" s="145"/>
      <c r="D141" s="145"/>
      <c r="E141" s="154"/>
      <c r="F141" s="155"/>
      <c r="G141" s="144"/>
      <c r="H141" s="144"/>
      <c r="I141" s="144"/>
    </row>
    <row r="142" spans="1:9" ht="14" x14ac:dyDescent="0.15">
      <c r="A142" s="144"/>
      <c r="B142" s="144"/>
      <c r="C142" s="145"/>
      <c r="D142" s="145"/>
      <c r="E142" s="154"/>
      <c r="F142" s="155"/>
      <c r="G142" s="144"/>
      <c r="H142" s="144"/>
      <c r="I142" s="144"/>
    </row>
    <row r="143" spans="1:9" ht="14" x14ac:dyDescent="0.15">
      <c r="A143" s="144"/>
      <c r="B143" s="144"/>
      <c r="C143" s="145"/>
      <c r="D143" s="145"/>
      <c r="E143" s="154"/>
      <c r="F143" s="155"/>
      <c r="G143" s="144"/>
      <c r="H143" s="144"/>
      <c r="I143" s="144"/>
    </row>
    <row r="144" spans="1:9" ht="14" x14ac:dyDescent="0.15">
      <c r="A144" s="144"/>
      <c r="B144" s="144"/>
      <c r="C144" s="145"/>
      <c r="D144" s="145"/>
      <c r="E144" s="154"/>
      <c r="F144" s="155"/>
      <c r="G144" s="144"/>
      <c r="H144" s="144"/>
      <c r="I144" s="144"/>
    </row>
    <row r="145" spans="1:9" ht="14" x14ac:dyDescent="0.15">
      <c r="A145" s="144"/>
      <c r="B145" s="144"/>
      <c r="C145" s="145"/>
      <c r="D145" s="145"/>
      <c r="E145" s="154"/>
      <c r="F145" s="155"/>
      <c r="G145" s="144"/>
      <c r="H145" s="144"/>
      <c r="I145" s="144"/>
    </row>
    <row r="146" spans="1:9" ht="14" x14ac:dyDescent="0.15">
      <c r="A146" s="144"/>
      <c r="B146" s="144"/>
      <c r="C146" s="145"/>
      <c r="D146" s="145"/>
      <c r="E146" s="154"/>
      <c r="F146" s="155"/>
      <c r="G146" s="144"/>
      <c r="H146" s="144"/>
      <c r="I146" s="144"/>
    </row>
    <row r="147" spans="1:9" ht="14" x14ac:dyDescent="0.15">
      <c r="A147" s="144"/>
      <c r="B147" s="144"/>
      <c r="C147" s="145"/>
      <c r="D147" s="145"/>
      <c r="E147" s="154"/>
      <c r="F147" s="155"/>
      <c r="G147" s="144"/>
      <c r="H147" s="144"/>
      <c r="I147" s="144"/>
    </row>
    <row r="148" spans="1:9" ht="14" x14ac:dyDescent="0.15">
      <c r="A148" s="144"/>
      <c r="B148" s="144"/>
      <c r="C148" s="145"/>
      <c r="D148" s="145"/>
      <c r="E148" s="154"/>
      <c r="F148" s="155"/>
      <c r="G148" s="144"/>
      <c r="H148" s="144"/>
      <c r="I148" s="144"/>
    </row>
    <row r="149" spans="1:9" ht="14" x14ac:dyDescent="0.15">
      <c r="A149" s="144"/>
      <c r="B149" s="144"/>
      <c r="C149" s="145"/>
      <c r="D149" s="145"/>
      <c r="E149" s="154"/>
      <c r="F149" s="155"/>
      <c r="G149" s="144"/>
      <c r="H149" s="144"/>
      <c r="I149" s="144"/>
    </row>
    <row r="150" spans="1:9" ht="14" x14ac:dyDescent="0.15">
      <c r="A150" s="144"/>
      <c r="B150" s="144"/>
      <c r="C150" s="145"/>
      <c r="D150" s="145"/>
      <c r="E150" s="154"/>
      <c r="F150" s="155"/>
      <c r="G150" s="144"/>
      <c r="H150" s="144"/>
      <c r="I150" s="144"/>
    </row>
    <row r="151" spans="1:9" ht="14" x14ac:dyDescent="0.15">
      <c r="A151" s="144"/>
      <c r="B151" s="144"/>
      <c r="C151" s="145"/>
      <c r="D151" s="145"/>
      <c r="E151" s="154"/>
      <c r="F151" s="155"/>
      <c r="G151" s="144"/>
      <c r="H151" s="144"/>
      <c r="I151" s="144"/>
    </row>
    <row r="152" spans="1:9" ht="14" x14ac:dyDescent="0.15">
      <c r="A152" s="144"/>
      <c r="B152" s="144"/>
      <c r="C152" s="145"/>
      <c r="D152" s="145"/>
      <c r="E152" s="154"/>
      <c r="F152" s="155"/>
      <c r="G152" s="144"/>
      <c r="H152" s="144"/>
      <c r="I152" s="144"/>
    </row>
    <row r="153" spans="1:9" ht="14" x14ac:dyDescent="0.15">
      <c r="A153" s="144"/>
      <c r="B153" s="144"/>
      <c r="C153" s="145"/>
      <c r="D153" s="145"/>
      <c r="E153" s="154"/>
      <c r="F153" s="155"/>
      <c r="G153" s="144"/>
      <c r="H153" s="144"/>
      <c r="I153" s="144"/>
    </row>
    <row r="154" spans="1:9" ht="14" x14ac:dyDescent="0.15">
      <c r="A154" s="144"/>
      <c r="B154" s="144"/>
      <c r="C154" s="145"/>
      <c r="D154" s="145"/>
      <c r="E154" s="154"/>
      <c r="F154" s="155"/>
      <c r="G154" s="144"/>
      <c r="H154" s="144"/>
      <c r="I154" s="144"/>
    </row>
    <row r="155" spans="1:9" ht="14" x14ac:dyDescent="0.15">
      <c r="A155" s="144"/>
      <c r="B155" s="144"/>
      <c r="C155" s="145"/>
      <c r="D155" s="145"/>
      <c r="E155" s="154"/>
      <c r="F155" s="155"/>
      <c r="G155" s="144"/>
      <c r="H155" s="144"/>
      <c r="I155" s="144"/>
    </row>
    <row r="156" spans="1:9" ht="14" x14ac:dyDescent="0.15">
      <c r="A156" s="144"/>
      <c r="B156" s="144"/>
      <c r="C156" s="145"/>
      <c r="D156" s="145"/>
      <c r="E156" s="154"/>
      <c r="F156" s="155"/>
      <c r="G156" s="144"/>
      <c r="H156" s="144"/>
      <c r="I156" s="144"/>
    </row>
    <row r="157" spans="1:9" ht="14" x14ac:dyDescent="0.15">
      <c r="A157" s="144"/>
      <c r="B157" s="144"/>
      <c r="C157" s="145"/>
      <c r="D157" s="145"/>
      <c r="E157" s="154"/>
      <c r="F157" s="155"/>
      <c r="G157" s="144"/>
      <c r="H157" s="144"/>
      <c r="I157" s="144"/>
    </row>
    <row r="158" spans="1:9" ht="14" x14ac:dyDescent="0.15">
      <c r="A158" s="144"/>
      <c r="B158" s="144"/>
      <c r="C158" s="145"/>
      <c r="D158" s="145"/>
      <c r="E158" s="154"/>
      <c r="F158" s="155"/>
      <c r="G158" s="144"/>
      <c r="H158" s="144"/>
      <c r="I158" s="144"/>
    </row>
    <row r="159" spans="1:9" ht="14" x14ac:dyDescent="0.15">
      <c r="A159" s="144"/>
      <c r="B159" s="144"/>
      <c r="C159" s="145"/>
      <c r="D159" s="145"/>
      <c r="E159" s="154"/>
      <c r="F159" s="155"/>
      <c r="G159" s="144"/>
      <c r="H159" s="144"/>
      <c r="I159" s="144"/>
    </row>
    <row r="160" spans="1:9" ht="14" x14ac:dyDescent="0.15">
      <c r="A160" s="144"/>
      <c r="B160" s="144"/>
      <c r="C160" s="145"/>
      <c r="D160" s="145"/>
      <c r="E160" s="154"/>
      <c r="F160" s="155"/>
      <c r="G160" s="144"/>
      <c r="H160" s="144"/>
      <c r="I160" s="144"/>
    </row>
    <row r="161" spans="1:9" ht="14" x14ac:dyDescent="0.15">
      <c r="A161" s="144"/>
      <c r="B161" s="144"/>
      <c r="C161" s="145"/>
      <c r="D161" s="145"/>
      <c r="E161" s="154"/>
      <c r="F161" s="155"/>
      <c r="G161" s="144"/>
      <c r="H161" s="144"/>
      <c r="I161" s="144"/>
    </row>
    <row r="162" spans="1:9" ht="14" x14ac:dyDescent="0.15">
      <c r="A162" s="144"/>
      <c r="B162" s="144"/>
      <c r="C162" s="145"/>
      <c r="D162" s="145"/>
      <c r="E162" s="154"/>
      <c r="F162" s="155"/>
      <c r="G162" s="144"/>
      <c r="H162" s="144"/>
      <c r="I162" s="144"/>
    </row>
    <row r="163" spans="1:9" ht="14" x14ac:dyDescent="0.15">
      <c r="A163" s="144"/>
      <c r="B163" s="144"/>
      <c r="C163" s="145"/>
      <c r="D163" s="145"/>
      <c r="E163" s="154"/>
      <c r="F163" s="155"/>
      <c r="G163" s="144"/>
      <c r="H163" s="144"/>
      <c r="I163" s="144"/>
    </row>
    <row r="164" spans="1:9" ht="14" x14ac:dyDescent="0.15">
      <c r="A164" s="144"/>
      <c r="B164" s="144"/>
      <c r="C164" s="145"/>
      <c r="D164" s="145"/>
      <c r="E164" s="154"/>
      <c r="F164" s="155"/>
      <c r="G164" s="144"/>
      <c r="H164" s="144"/>
      <c r="I164" s="144"/>
    </row>
    <row r="165" spans="1:9" ht="14" x14ac:dyDescent="0.15">
      <c r="A165" s="144"/>
      <c r="B165" s="144"/>
      <c r="C165" s="145"/>
      <c r="D165" s="145"/>
      <c r="E165" s="154"/>
      <c r="F165" s="155"/>
      <c r="G165" s="144"/>
      <c r="H165" s="144"/>
      <c r="I165" s="144"/>
    </row>
    <row r="166" spans="1:9" ht="14" x14ac:dyDescent="0.15">
      <c r="A166" s="144"/>
      <c r="B166" s="144"/>
      <c r="C166" s="145"/>
      <c r="D166" s="145"/>
      <c r="E166" s="154"/>
      <c r="F166" s="155"/>
      <c r="G166" s="144"/>
      <c r="H166" s="144"/>
      <c r="I166" s="144"/>
    </row>
    <row r="167" spans="1:9" ht="14" x14ac:dyDescent="0.15">
      <c r="A167" s="144"/>
      <c r="B167" s="144"/>
      <c r="C167" s="145"/>
      <c r="D167" s="145"/>
      <c r="E167" s="154"/>
      <c r="F167" s="155"/>
      <c r="G167" s="144"/>
      <c r="H167" s="144"/>
      <c r="I167" s="144"/>
    </row>
    <row r="168" spans="1:9" ht="14" x14ac:dyDescent="0.15">
      <c r="A168" s="144"/>
      <c r="B168" s="144"/>
      <c r="C168" s="145"/>
      <c r="D168" s="145"/>
      <c r="E168" s="154"/>
      <c r="F168" s="155"/>
      <c r="G168" s="144"/>
      <c r="H168" s="144"/>
      <c r="I168" s="144"/>
    </row>
    <row r="169" spans="1:9" ht="14" x14ac:dyDescent="0.15">
      <c r="A169" s="144"/>
      <c r="B169" s="144"/>
      <c r="C169" s="145"/>
      <c r="D169" s="145"/>
      <c r="E169" s="154"/>
      <c r="F169" s="155"/>
      <c r="G169" s="144"/>
      <c r="H169" s="144"/>
      <c r="I169" s="144"/>
    </row>
    <row r="170" spans="1:9" ht="14" x14ac:dyDescent="0.15">
      <c r="A170" s="144"/>
      <c r="B170" s="144"/>
      <c r="C170" s="145"/>
      <c r="D170" s="145"/>
      <c r="E170" s="154"/>
      <c r="F170" s="155"/>
      <c r="G170" s="144"/>
      <c r="H170" s="144"/>
      <c r="I170" s="144"/>
    </row>
    <row r="171" spans="1:9" ht="14" x14ac:dyDescent="0.15">
      <c r="A171" s="144"/>
      <c r="B171" s="144"/>
      <c r="C171" s="145"/>
      <c r="D171" s="145"/>
      <c r="E171" s="154"/>
      <c r="F171" s="155"/>
      <c r="G171" s="144"/>
      <c r="H171" s="144"/>
      <c r="I171" s="144"/>
    </row>
    <row r="172" spans="1:9" ht="14" x14ac:dyDescent="0.15">
      <c r="A172" s="144"/>
      <c r="B172" s="144"/>
      <c r="C172" s="145"/>
      <c r="D172" s="145"/>
      <c r="E172" s="154"/>
      <c r="F172" s="155"/>
      <c r="G172" s="144"/>
      <c r="H172" s="144"/>
      <c r="I172" s="144"/>
    </row>
    <row r="173" spans="1:9" ht="14" x14ac:dyDescent="0.15">
      <c r="A173" s="144"/>
      <c r="B173" s="144"/>
      <c r="C173" s="145"/>
      <c r="D173" s="145"/>
      <c r="E173" s="154"/>
      <c r="F173" s="155"/>
      <c r="G173" s="144"/>
      <c r="H173" s="144"/>
      <c r="I173" s="144"/>
    </row>
    <row r="174" spans="1:9" ht="14" x14ac:dyDescent="0.15">
      <c r="A174" s="144"/>
      <c r="B174" s="144"/>
      <c r="C174" s="145"/>
      <c r="D174" s="145"/>
      <c r="E174" s="154"/>
      <c r="F174" s="155"/>
      <c r="G174" s="144"/>
      <c r="H174" s="144"/>
      <c r="I174" s="144"/>
    </row>
    <row r="175" spans="1:9" ht="14" x14ac:dyDescent="0.15">
      <c r="A175" s="144"/>
      <c r="B175" s="144"/>
      <c r="C175" s="145"/>
      <c r="D175" s="145"/>
      <c r="E175" s="154"/>
      <c r="F175" s="155"/>
      <c r="G175" s="144"/>
      <c r="H175" s="144"/>
      <c r="I175" s="144"/>
    </row>
    <row r="176" spans="1:9" ht="14" x14ac:dyDescent="0.15">
      <c r="A176" s="144"/>
      <c r="B176" s="144"/>
      <c r="C176" s="145"/>
      <c r="D176" s="145"/>
      <c r="E176" s="154"/>
      <c r="F176" s="155"/>
      <c r="G176" s="144"/>
      <c r="H176" s="144"/>
      <c r="I176" s="144"/>
    </row>
    <row r="177" spans="1:9" ht="14" x14ac:dyDescent="0.15">
      <c r="A177" s="144"/>
      <c r="B177" s="144"/>
      <c r="C177" s="145"/>
      <c r="D177" s="145"/>
      <c r="E177" s="154"/>
      <c r="F177" s="155"/>
      <c r="G177" s="144"/>
      <c r="H177" s="144"/>
      <c r="I177" s="144"/>
    </row>
    <row r="178" spans="1:9" ht="14" x14ac:dyDescent="0.15">
      <c r="A178" s="144"/>
      <c r="B178" s="144"/>
      <c r="C178" s="145"/>
      <c r="D178" s="145"/>
      <c r="E178" s="154"/>
      <c r="F178" s="155"/>
      <c r="G178" s="144"/>
      <c r="H178" s="144"/>
      <c r="I178" s="144"/>
    </row>
    <row r="179" spans="1:9" ht="14" x14ac:dyDescent="0.15">
      <c r="A179" s="144"/>
      <c r="B179" s="144"/>
      <c r="C179" s="145"/>
      <c r="D179" s="145"/>
      <c r="E179" s="154"/>
      <c r="F179" s="155"/>
      <c r="G179" s="144"/>
      <c r="H179" s="144"/>
      <c r="I179" s="144"/>
    </row>
    <row r="180" spans="1:9" ht="14" x14ac:dyDescent="0.15">
      <c r="A180" s="144"/>
      <c r="B180" s="144"/>
      <c r="C180" s="145"/>
      <c r="D180" s="145"/>
      <c r="E180" s="154"/>
      <c r="F180" s="155"/>
      <c r="G180" s="144"/>
      <c r="H180" s="144"/>
      <c r="I180" s="144"/>
    </row>
    <row r="181" spans="1:9" ht="14" x14ac:dyDescent="0.15">
      <c r="A181" s="144"/>
      <c r="B181" s="144"/>
      <c r="C181" s="145"/>
      <c r="D181" s="145"/>
      <c r="E181" s="154"/>
      <c r="F181" s="155"/>
      <c r="G181" s="144"/>
      <c r="H181" s="144"/>
      <c r="I181" s="144"/>
    </row>
    <row r="182" spans="1:9" ht="14" x14ac:dyDescent="0.15">
      <c r="A182" s="144"/>
      <c r="B182" s="144"/>
      <c r="C182" s="145"/>
      <c r="D182" s="145"/>
      <c r="E182" s="154"/>
      <c r="F182" s="155"/>
      <c r="G182" s="144"/>
      <c r="H182" s="144"/>
      <c r="I182" s="144"/>
    </row>
    <row r="183" spans="1:9" ht="14" x14ac:dyDescent="0.15">
      <c r="A183" s="144"/>
      <c r="B183" s="144"/>
      <c r="C183" s="145"/>
      <c r="D183" s="145"/>
      <c r="E183" s="154"/>
      <c r="F183" s="155"/>
      <c r="G183" s="144"/>
      <c r="H183" s="144"/>
      <c r="I183" s="144"/>
    </row>
    <row r="184" spans="1:9" ht="14" x14ac:dyDescent="0.15">
      <c r="A184" s="144"/>
      <c r="B184" s="144"/>
      <c r="C184" s="145"/>
      <c r="D184" s="145"/>
      <c r="E184" s="154"/>
      <c r="F184" s="155"/>
      <c r="G184" s="144"/>
      <c r="H184" s="144"/>
      <c r="I184" s="144"/>
    </row>
    <row r="185" spans="1:9" ht="14" x14ac:dyDescent="0.15">
      <c r="A185" s="144"/>
      <c r="B185" s="144"/>
      <c r="C185" s="145"/>
      <c r="D185" s="145"/>
      <c r="E185" s="154"/>
      <c r="F185" s="155"/>
      <c r="G185" s="144"/>
      <c r="H185" s="144"/>
      <c r="I185" s="144"/>
    </row>
    <row r="186" spans="1:9" ht="14" x14ac:dyDescent="0.15">
      <c r="A186" s="144"/>
      <c r="B186" s="144"/>
      <c r="C186" s="145"/>
      <c r="D186" s="145"/>
      <c r="E186" s="154"/>
      <c r="F186" s="155"/>
      <c r="G186" s="144"/>
      <c r="H186" s="144"/>
      <c r="I186" s="144"/>
    </row>
    <row r="187" spans="1:9" ht="14" x14ac:dyDescent="0.15">
      <c r="A187" s="144"/>
      <c r="B187" s="144"/>
      <c r="C187" s="145"/>
      <c r="D187" s="145"/>
      <c r="E187" s="154"/>
      <c r="F187" s="155"/>
      <c r="G187" s="144"/>
      <c r="H187" s="144"/>
      <c r="I187" s="144"/>
    </row>
    <row r="188" spans="1:9" ht="14" x14ac:dyDescent="0.15">
      <c r="A188" s="144"/>
      <c r="B188" s="144"/>
      <c r="C188" s="145"/>
      <c r="D188" s="145"/>
      <c r="E188" s="154"/>
      <c r="F188" s="155"/>
      <c r="G188" s="144"/>
      <c r="H188" s="144"/>
      <c r="I188" s="144"/>
    </row>
    <row r="189" spans="1:9" ht="14" x14ac:dyDescent="0.15">
      <c r="A189" s="144"/>
      <c r="B189" s="144"/>
      <c r="C189" s="145"/>
      <c r="D189" s="145"/>
      <c r="E189" s="154"/>
      <c r="F189" s="155"/>
      <c r="G189" s="144"/>
      <c r="H189" s="144"/>
      <c r="I189" s="144"/>
    </row>
    <row r="190" spans="1:9" ht="14" x14ac:dyDescent="0.15">
      <c r="A190" s="144"/>
      <c r="B190" s="144"/>
      <c r="C190" s="145"/>
      <c r="D190" s="145"/>
      <c r="E190" s="154"/>
      <c r="F190" s="155"/>
      <c r="G190" s="144"/>
      <c r="H190" s="144"/>
      <c r="I190" s="144"/>
    </row>
    <row r="191" spans="1:9" ht="14" x14ac:dyDescent="0.15">
      <c r="A191" s="144"/>
      <c r="B191" s="144"/>
      <c r="C191" s="145"/>
      <c r="D191" s="145"/>
      <c r="E191" s="154"/>
      <c r="F191" s="155"/>
      <c r="G191" s="144"/>
      <c r="H191" s="144"/>
      <c r="I191" s="144"/>
    </row>
    <row r="192" spans="1:9" ht="14" x14ac:dyDescent="0.15">
      <c r="A192" s="144"/>
      <c r="B192" s="144"/>
      <c r="C192" s="145"/>
      <c r="D192" s="145"/>
      <c r="E192" s="154"/>
      <c r="F192" s="155"/>
      <c r="G192" s="144"/>
      <c r="H192" s="144"/>
      <c r="I192" s="144"/>
    </row>
    <row r="193" spans="1:9" ht="14" x14ac:dyDescent="0.15">
      <c r="A193" s="144"/>
      <c r="B193" s="144"/>
      <c r="C193" s="145"/>
      <c r="D193" s="145"/>
      <c r="E193" s="154"/>
      <c r="F193" s="155"/>
      <c r="G193" s="144"/>
      <c r="H193" s="144"/>
      <c r="I193" s="144"/>
    </row>
    <row r="194" spans="1:9" ht="14" x14ac:dyDescent="0.15">
      <c r="A194" s="144"/>
      <c r="B194" s="144"/>
      <c r="C194" s="145"/>
      <c r="D194" s="145"/>
      <c r="E194" s="154"/>
      <c r="F194" s="155"/>
      <c r="G194" s="144"/>
      <c r="H194" s="144"/>
      <c r="I194" s="144"/>
    </row>
    <row r="195" spans="1:9" ht="14" x14ac:dyDescent="0.15">
      <c r="A195" s="144"/>
      <c r="B195" s="144"/>
      <c r="C195" s="145"/>
      <c r="D195" s="145"/>
      <c r="E195" s="154"/>
      <c r="F195" s="155"/>
      <c r="G195" s="144"/>
      <c r="H195" s="144"/>
      <c r="I195" s="144"/>
    </row>
    <row r="196" spans="1:9" ht="14" x14ac:dyDescent="0.15">
      <c r="A196" s="144"/>
      <c r="B196" s="144"/>
      <c r="C196" s="145"/>
      <c r="D196" s="145"/>
      <c r="E196" s="154"/>
      <c r="F196" s="155"/>
      <c r="G196" s="144"/>
      <c r="H196" s="144"/>
      <c r="I196" s="144"/>
    </row>
    <row r="197" spans="1:9" ht="14" x14ac:dyDescent="0.15">
      <c r="A197" s="144"/>
      <c r="B197" s="144"/>
      <c r="C197" s="145"/>
      <c r="D197" s="145"/>
      <c r="E197" s="154"/>
      <c r="F197" s="155"/>
      <c r="G197" s="144"/>
      <c r="H197" s="144"/>
      <c r="I197" s="144"/>
    </row>
    <row r="198" spans="1:9" ht="14" x14ac:dyDescent="0.15">
      <c r="A198" s="144"/>
      <c r="B198" s="144"/>
      <c r="C198" s="145"/>
      <c r="D198" s="145"/>
      <c r="E198" s="154"/>
      <c r="F198" s="155"/>
      <c r="G198" s="144"/>
      <c r="H198" s="144"/>
      <c r="I198" s="144"/>
    </row>
    <row r="199" spans="1:9" ht="14" x14ac:dyDescent="0.15">
      <c r="A199" s="144"/>
      <c r="B199" s="144"/>
      <c r="C199" s="145"/>
      <c r="D199" s="145"/>
      <c r="E199" s="154"/>
      <c r="F199" s="155"/>
      <c r="G199" s="144"/>
      <c r="H199" s="144"/>
      <c r="I199" s="144"/>
    </row>
    <row r="200" spans="1:9" ht="14" x14ac:dyDescent="0.15">
      <c r="A200" s="144"/>
      <c r="B200" s="144"/>
      <c r="C200" s="145"/>
      <c r="D200" s="145"/>
      <c r="E200" s="154"/>
      <c r="F200" s="155"/>
      <c r="G200" s="144"/>
      <c r="H200" s="144"/>
      <c r="I200" s="144"/>
    </row>
    <row r="201" spans="1:9" ht="14" x14ac:dyDescent="0.15">
      <c r="A201" s="144"/>
      <c r="B201" s="144"/>
      <c r="C201" s="145"/>
      <c r="D201" s="145"/>
      <c r="E201" s="154"/>
      <c r="F201" s="155"/>
      <c r="G201" s="144"/>
      <c r="H201" s="144"/>
      <c r="I201" s="144"/>
    </row>
    <row r="202" spans="1:9" ht="14" x14ac:dyDescent="0.15">
      <c r="A202" s="144"/>
      <c r="B202" s="144"/>
      <c r="C202" s="145"/>
      <c r="D202" s="145"/>
      <c r="E202" s="154"/>
      <c r="F202" s="155"/>
      <c r="G202" s="144"/>
      <c r="H202" s="144"/>
      <c r="I202" s="144"/>
    </row>
    <row r="203" spans="1:9" ht="14" x14ac:dyDescent="0.15">
      <c r="A203" s="144"/>
      <c r="B203" s="144"/>
      <c r="C203" s="145"/>
      <c r="D203" s="145"/>
      <c r="E203" s="154"/>
      <c r="F203" s="155"/>
      <c r="G203" s="144"/>
      <c r="H203" s="144"/>
      <c r="I203" s="144"/>
    </row>
    <row r="204" spans="1:9" ht="14" x14ac:dyDescent="0.15">
      <c r="A204" s="144"/>
      <c r="B204" s="144"/>
      <c r="C204" s="145"/>
      <c r="D204" s="145"/>
      <c r="E204" s="154"/>
      <c r="F204" s="155"/>
      <c r="G204" s="144"/>
      <c r="H204" s="144"/>
      <c r="I204" s="144"/>
    </row>
    <row r="205" spans="1:9" ht="14" x14ac:dyDescent="0.15">
      <c r="A205" s="144"/>
      <c r="B205" s="144"/>
      <c r="C205" s="145"/>
      <c r="D205" s="145"/>
      <c r="E205" s="154"/>
      <c r="F205" s="155"/>
      <c r="G205" s="144"/>
      <c r="H205" s="144"/>
      <c r="I205" s="144"/>
    </row>
    <row r="206" spans="1:9" ht="14" x14ac:dyDescent="0.15">
      <c r="A206" s="144"/>
      <c r="B206" s="144"/>
      <c r="C206" s="145"/>
      <c r="D206" s="145"/>
      <c r="E206" s="154"/>
      <c r="F206" s="155"/>
      <c r="G206" s="144"/>
      <c r="H206" s="144"/>
      <c r="I206" s="144"/>
    </row>
    <row r="207" spans="1:9" ht="14" x14ac:dyDescent="0.15">
      <c r="A207" s="144"/>
      <c r="B207" s="144"/>
      <c r="C207" s="145"/>
      <c r="D207" s="145"/>
      <c r="E207" s="154"/>
      <c r="F207" s="155"/>
      <c r="G207" s="144"/>
      <c r="H207" s="144"/>
      <c r="I207" s="144"/>
    </row>
    <row r="208" spans="1:9" ht="14" x14ac:dyDescent="0.15">
      <c r="A208" s="144"/>
      <c r="B208" s="144"/>
      <c r="C208" s="145"/>
      <c r="D208" s="145"/>
      <c r="E208" s="154"/>
      <c r="F208" s="155"/>
      <c r="G208" s="144"/>
      <c r="H208" s="144"/>
      <c r="I208" s="144"/>
    </row>
    <row r="209" spans="1:9" ht="14" x14ac:dyDescent="0.15">
      <c r="A209" s="144"/>
      <c r="B209" s="144"/>
      <c r="C209" s="145"/>
      <c r="D209" s="145"/>
      <c r="E209" s="154"/>
      <c r="F209" s="155"/>
      <c r="G209" s="144"/>
      <c r="H209" s="144"/>
      <c r="I209" s="144"/>
    </row>
    <row r="210" spans="1:9" ht="14" x14ac:dyDescent="0.15">
      <c r="A210" s="144"/>
      <c r="B210" s="144"/>
      <c r="C210" s="145"/>
      <c r="D210" s="145"/>
      <c r="E210" s="154"/>
      <c r="F210" s="155"/>
      <c r="G210" s="144"/>
      <c r="H210" s="144"/>
      <c r="I210" s="144"/>
    </row>
    <row r="211" spans="1:9" ht="14" x14ac:dyDescent="0.15">
      <c r="A211" s="144"/>
      <c r="B211" s="144"/>
      <c r="C211" s="145"/>
      <c r="D211" s="145"/>
      <c r="E211" s="154"/>
      <c r="F211" s="155"/>
      <c r="G211" s="144"/>
      <c r="H211" s="144"/>
      <c r="I211" s="144"/>
    </row>
    <row r="212" spans="1:9" ht="14" x14ac:dyDescent="0.15">
      <c r="A212" s="144"/>
      <c r="B212" s="144"/>
      <c r="C212" s="145"/>
      <c r="D212" s="145"/>
      <c r="E212" s="154"/>
      <c r="F212" s="155"/>
      <c r="G212" s="144"/>
      <c r="H212" s="144"/>
      <c r="I212" s="144"/>
    </row>
    <row r="213" spans="1:9" ht="14" x14ac:dyDescent="0.15">
      <c r="A213" s="144"/>
      <c r="B213" s="144"/>
      <c r="C213" s="145"/>
      <c r="D213" s="145"/>
      <c r="E213" s="154"/>
      <c r="F213" s="155"/>
      <c r="G213" s="144"/>
      <c r="H213" s="144"/>
      <c r="I213" s="144"/>
    </row>
    <row r="214" spans="1:9" ht="14" x14ac:dyDescent="0.15">
      <c r="A214" s="144"/>
      <c r="B214" s="144"/>
      <c r="C214" s="145"/>
      <c r="D214" s="145"/>
      <c r="E214" s="154"/>
      <c r="F214" s="155"/>
      <c r="G214" s="144"/>
      <c r="H214" s="144"/>
      <c r="I214" s="144"/>
    </row>
    <row r="215" spans="1:9" ht="14" x14ac:dyDescent="0.15">
      <c r="A215" s="144"/>
      <c r="B215" s="144"/>
      <c r="C215" s="145"/>
      <c r="D215" s="145"/>
      <c r="E215" s="154"/>
      <c r="F215" s="155"/>
      <c r="G215" s="144"/>
      <c r="H215" s="144"/>
      <c r="I215" s="144"/>
    </row>
    <row r="216" spans="1:9" ht="14" x14ac:dyDescent="0.15">
      <c r="A216" s="144"/>
      <c r="B216" s="144"/>
      <c r="C216" s="145"/>
      <c r="D216" s="145"/>
      <c r="E216" s="154"/>
      <c r="F216" s="155"/>
      <c r="G216" s="144"/>
      <c r="H216" s="144"/>
      <c r="I216" s="144"/>
    </row>
    <row r="217" spans="1:9" ht="14" x14ac:dyDescent="0.15">
      <c r="A217" s="144"/>
      <c r="B217" s="144"/>
      <c r="C217" s="145"/>
      <c r="D217" s="145"/>
      <c r="E217" s="154"/>
      <c r="F217" s="155"/>
      <c r="G217" s="144"/>
      <c r="H217" s="144"/>
      <c r="I217" s="144"/>
    </row>
    <row r="218" spans="1:9" ht="14" x14ac:dyDescent="0.15">
      <c r="A218" s="144"/>
      <c r="B218" s="144"/>
      <c r="C218" s="145"/>
      <c r="D218" s="145"/>
      <c r="E218" s="154"/>
      <c r="F218" s="155"/>
      <c r="G218" s="144"/>
      <c r="H218" s="144"/>
      <c r="I218" s="144"/>
    </row>
    <row r="219" spans="1:9" ht="14" x14ac:dyDescent="0.15">
      <c r="A219" s="144"/>
      <c r="B219" s="144"/>
      <c r="C219" s="145"/>
      <c r="D219" s="145"/>
      <c r="E219" s="154"/>
      <c r="F219" s="155"/>
      <c r="G219" s="144"/>
      <c r="H219" s="144"/>
      <c r="I219" s="144"/>
    </row>
    <row r="220" spans="1:9" ht="14" x14ac:dyDescent="0.15">
      <c r="A220" s="144"/>
      <c r="B220" s="144"/>
      <c r="C220" s="145"/>
      <c r="D220" s="145"/>
      <c r="E220" s="154"/>
      <c r="F220" s="155"/>
      <c r="G220" s="144"/>
      <c r="H220" s="144"/>
      <c r="I220" s="144"/>
    </row>
    <row r="221" spans="1:9" ht="14" x14ac:dyDescent="0.15">
      <c r="A221" s="144"/>
      <c r="B221" s="144"/>
      <c r="C221" s="145"/>
      <c r="D221" s="145"/>
      <c r="E221" s="154"/>
      <c r="F221" s="155"/>
      <c r="G221" s="144"/>
      <c r="H221" s="144"/>
      <c r="I221" s="144"/>
    </row>
    <row r="222" spans="1:9" ht="14" x14ac:dyDescent="0.15">
      <c r="A222" s="144"/>
      <c r="B222" s="144"/>
      <c r="C222" s="145"/>
      <c r="D222" s="145"/>
      <c r="E222" s="154"/>
      <c r="F222" s="155"/>
      <c r="G222" s="144"/>
      <c r="H222" s="144"/>
      <c r="I222" s="144"/>
    </row>
    <row r="223" spans="1:9" ht="14" x14ac:dyDescent="0.15">
      <c r="A223" s="144"/>
      <c r="B223" s="144"/>
      <c r="C223" s="145"/>
      <c r="D223" s="145"/>
      <c r="E223" s="154"/>
      <c r="F223" s="155"/>
      <c r="G223" s="144"/>
      <c r="H223" s="144"/>
      <c r="I223" s="144"/>
    </row>
    <row r="224" spans="1:9" ht="14" x14ac:dyDescent="0.15">
      <c r="A224" s="144"/>
      <c r="B224" s="144"/>
      <c r="C224" s="145"/>
      <c r="D224" s="145"/>
      <c r="E224" s="154"/>
      <c r="F224" s="155"/>
      <c r="G224" s="144"/>
      <c r="H224" s="144"/>
      <c r="I224" s="144"/>
    </row>
    <row r="225" spans="1:9" ht="14" x14ac:dyDescent="0.15">
      <c r="A225" s="144"/>
      <c r="B225" s="144"/>
      <c r="C225" s="145"/>
      <c r="D225" s="145"/>
      <c r="E225" s="154"/>
      <c r="F225" s="155"/>
      <c r="G225" s="144"/>
      <c r="H225" s="144"/>
      <c r="I225" s="144"/>
    </row>
    <row r="226" spans="1:9" ht="14" x14ac:dyDescent="0.15">
      <c r="A226" s="144"/>
      <c r="B226" s="144"/>
      <c r="C226" s="145"/>
      <c r="D226" s="145"/>
      <c r="E226" s="154"/>
      <c r="F226" s="155"/>
      <c r="G226" s="144"/>
      <c r="H226" s="144"/>
      <c r="I226" s="144"/>
    </row>
    <row r="227" spans="1:9" ht="14" x14ac:dyDescent="0.15">
      <c r="A227" s="144"/>
      <c r="B227" s="144"/>
      <c r="C227" s="145"/>
      <c r="D227" s="145"/>
      <c r="E227" s="154"/>
      <c r="F227" s="155"/>
      <c r="G227" s="144"/>
      <c r="H227" s="144"/>
      <c r="I227" s="144"/>
    </row>
    <row r="228" spans="1:9" ht="14" x14ac:dyDescent="0.15">
      <c r="A228" s="144"/>
      <c r="B228" s="144"/>
      <c r="C228" s="145"/>
      <c r="D228" s="145"/>
      <c r="E228" s="154"/>
      <c r="F228" s="155"/>
      <c r="G228" s="144"/>
      <c r="H228" s="144"/>
      <c r="I228" s="144"/>
    </row>
    <row r="229" spans="1:9" ht="14" x14ac:dyDescent="0.15">
      <c r="A229" s="144"/>
      <c r="B229" s="144"/>
      <c r="C229" s="145"/>
      <c r="D229" s="145"/>
      <c r="E229" s="154"/>
      <c r="F229" s="155"/>
      <c r="G229" s="144"/>
      <c r="H229" s="144"/>
      <c r="I229" s="144"/>
    </row>
    <row r="230" spans="1:9" ht="14" x14ac:dyDescent="0.15">
      <c r="A230" s="144"/>
      <c r="B230" s="144"/>
      <c r="C230" s="145"/>
      <c r="D230" s="145"/>
      <c r="E230" s="154"/>
      <c r="F230" s="155"/>
      <c r="G230" s="144"/>
      <c r="H230" s="144"/>
      <c r="I230" s="144"/>
    </row>
    <row r="231" spans="1:9" ht="14" x14ac:dyDescent="0.15">
      <c r="A231" s="144"/>
      <c r="B231" s="144"/>
      <c r="C231" s="145"/>
      <c r="D231" s="145"/>
      <c r="E231" s="154"/>
      <c r="F231" s="155"/>
      <c r="G231" s="144"/>
      <c r="H231" s="144"/>
      <c r="I231" s="144"/>
    </row>
    <row r="232" spans="1:9" ht="14" x14ac:dyDescent="0.15">
      <c r="A232" s="144"/>
      <c r="B232" s="144"/>
      <c r="C232" s="145"/>
      <c r="D232" s="145"/>
      <c r="E232" s="154"/>
      <c r="F232" s="155"/>
      <c r="G232" s="144"/>
      <c r="H232" s="144"/>
      <c r="I232" s="144"/>
    </row>
    <row r="233" spans="1:9" ht="14" x14ac:dyDescent="0.15">
      <c r="A233" s="144"/>
      <c r="B233" s="144"/>
      <c r="C233" s="145"/>
      <c r="D233" s="145"/>
      <c r="E233" s="154"/>
      <c r="F233" s="155"/>
      <c r="G233" s="144"/>
      <c r="H233" s="144"/>
      <c r="I233" s="144"/>
    </row>
    <row r="234" spans="1:9" ht="14" x14ac:dyDescent="0.15">
      <c r="A234" s="144"/>
      <c r="B234" s="144"/>
      <c r="C234" s="145"/>
      <c r="D234" s="145"/>
      <c r="E234" s="154"/>
      <c r="F234" s="155"/>
      <c r="G234" s="144"/>
      <c r="H234" s="144"/>
      <c r="I234" s="144"/>
    </row>
    <row r="235" spans="1:9" ht="14" x14ac:dyDescent="0.15">
      <c r="A235" s="144"/>
      <c r="B235" s="144"/>
      <c r="C235" s="145"/>
      <c r="D235" s="145"/>
      <c r="E235" s="154"/>
      <c r="F235" s="155"/>
      <c r="G235" s="144"/>
      <c r="H235" s="144"/>
      <c r="I235" s="144"/>
    </row>
    <row r="236" spans="1:9" ht="14" x14ac:dyDescent="0.15">
      <c r="A236" s="144"/>
      <c r="B236" s="144"/>
      <c r="C236" s="145"/>
      <c r="D236" s="145"/>
      <c r="E236" s="154"/>
      <c r="F236" s="155"/>
      <c r="G236" s="144"/>
      <c r="H236" s="144"/>
      <c r="I236" s="144"/>
    </row>
    <row r="237" spans="1:9" ht="14" x14ac:dyDescent="0.15">
      <c r="A237" s="144"/>
      <c r="B237" s="144"/>
      <c r="C237" s="145"/>
      <c r="D237" s="145"/>
      <c r="E237" s="154"/>
      <c r="F237" s="155"/>
      <c r="G237" s="144"/>
      <c r="H237" s="144"/>
      <c r="I237" s="144"/>
    </row>
    <row r="238" spans="1:9" ht="14" x14ac:dyDescent="0.15">
      <c r="A238" s="144"/>
      <c r="B238" s="144"/>
      <c r="C238" s="145"/>
      <c r="D238" s="145"/>
      <c r="E238" s="154"/>
      <c r="F238" s="155"/>
      <c r="G238" s="144"/>
      <c r="H238" s="144"/>
      <c r="I238" s="144"/>
    </row>
    <row r="239" spans="1:9" ht="14" x14ac:dyDescent="0.15">
      <c r="A239" s="144"/>
      <c r="B239" s="144"/>
      <c r="C239" s="145"/>
      <c r="D239" s="145"/>
      <c r="E239" s="154"/>
      <c r="F239" s="155"/>
      <c r="G239" s="144"/>
      <c r="H239" s="144"/>
      <c r="I239" s="144"/>
    </row>
    <row r="240" spans="1:9" ht="14" x14ac:dyDescent="0.15">
      <c r="A240" s="144"/>
      <c r="B240" s="144"/>
      <c r="C240" s="145"/>
      <c r="D240" s="145"/>
      <c r="E240" s="154"/>
      <c r="F240" s="155"/>
      <c r="G240" s="144"/>
      <c r="H240" s="144"/>
      <c r="I240" s="144"/>
    </row>
    <row r="241" spans="1:9" ht="14" x14ac:dyDescent="0.15">
      <c r="A241" s="144"/>
      <c r="B241" s="144"/>
      <c r="C241" s="145"/>
      <c r="D241" s="145"/>
      <c r="E241" s="154"/>
      <c r="F241" s="155"/>
      <c r="G241" s="144"/>
      <c r="H241" s="144"/>
      <c r="I241" s="144"/>
    </row>
    <row r="242" spans="1:9" ht="14" x14ac:dyDescent="0.15">
      <c r="A242" s="144"/>
      <c r="B242" s="144"/>
      <c r="C242" s="145"/>
      <c r="D242" s="145"/>
      <c r="E242" s="154"/>
      <c r="F242" s="155"/>
      <c r="G242" s="144"/>
      <c r="H242" s="144"/>
      <c r="I242" s="144"/>
    </row>
    <row r="243" spans="1:9" ht="14" x14ac:dyDescent="0.15">
      <c r="A243" s="144"/>
      <c r="B243" s="144"/>
      <c r="C243" s="145"/>
      <c r="D243" s="145"/>
      <c r="E243" s="154"/>
      <c r="F243" s="155"/>
      <c r="G243" s="144"/>
      <c r="H243" s="144"/>
      <c r="I243" s="144"/>
    </row>
    <row r="244" spans="1:9" ht="14" x14ac:dyDescent="0.15">
      <c r="A244" s="144"/>
      <c r="B244" s="144"/>
      <c r="C244" s="145"/>
      <c r="D244" s="145"/>
      <c r="E244" s="154"/>
      <c r="F244" s="155"/>
      <c r="G244" s="144"/>
      <c r="H244" s="144"/>
      <c r="I244" s="144"/>
    </row>
    <row r="245" spans="1:9" ht="14" x14ac:dyDescent="0.15">
      <c r="A245" s="144"/>
      <c r="B245" s="144"/>
      <c r="C245" s="145"/>
      <c r="D245" s="145"/>
      <c r="E245" s="154"/>
      <c r="F245" s="155"/>
      <c r="G245" s="144"/>
      <c r="H245" s="144"/>
      <c r="I245" s="144"/>
    </row>
    <row r="246" spans="1:9" ht="14" x14ac:dyDescent="0.15">
      <c r="A246" s="144"/>
      <c r="B246" s="144"/>
      <c r="C246" s="145"/>
      <c r="D246" s="145"/>
      <c r="E246" s="154"/>
      <c r="F246" s="155"/>
      <c r="G246" s="144"/>
      <c r="H246" s="144"/>
      <c r="I246" s="144"/>
    </row>
    <row r="247" spans="1:9" ht="14" x14ac:dyDescent="0.15">
      <c r="A247" s="144"/>
      <c r="B247" s="144"/>
      <c r="C247" s="145"/>
      <c r="D247" s="145"/>
      <c r="E247" s="154"/>
      <c r="F247" s="155"/>
      <c r="G247" s="144"/>
      <c r="H247" s="144"/>
      <c r="I247" s="144"/>
    </row>
    <row r="248" spans="1:9" ht="14" x14ac:dyDescent="0.15">
      <c r="A248" s="144"/>
      <c r="B248" s="144"/>
      <c r="C248" s="145"/>
      <c r="D248" s="145"/>
      <c r="E248" s="154"/>
      <c r="F248" s="155"/>
      <c r="G248" s="144"/>
      <c r="H248" s="144"/>
      <c r="I248" s="144"/>
    </row>
    <row r="249" spans="1:9" ht="14" x14ac:dyDescent="0.15">
      <c r="A249" s="144"/>
      <c r="B249" s="144"/>
      <c r="C249" s="145"/>
      <c r="D249" s="145"/>
      <c r="E249" s="154"/>
      <c r="F249" s="155"/>
      <c r="G249" s="144"/>
      <c r="H249" s="144"/>
      <c r="I249" s="144"/>
    </row>
    <row r="250" spans="1:9" ht="14" x14ac:dyDescent="0.15">
      <c r="A250" s="144"/>
      <c r="B250" s="144"/>
      <c r="C250" s="145"/>
      <c r="D250" s="145"/>
      <c r="E250" s="154"/>
      <c r="F250" s="155"/>
      <c r="G250" s="144"/>
      <c r="H250" s="144"/>
      <c r="I250" s="144"/>
    </row>
    <row r="251" spans="1:9" ht="14" x14ac:dyDescent="0.15">
      <c r="A251" s="144"/>
      <c r="B251" s="144"/>
      <c r="C251" s="145"/>
      <c r="D251" s="145"/>
      <c r="E251" s="154"/>
      <c r="F251" s="155"/>
      <c r="G251" s="144"/>
      <c r="H251" s="144"/>
      <c r="I251" s="144"/>
    </row>
    <row r="252" spans="1:9" ht="14" x14ac:dyDescent="0.15">
      <c r="A252" s="144"/>
      <c r="B252" s="144"/>
      <c r="C252" s="145"/>
      <c r="D252" s="145"/>
      <c r="E252" s="154"/>
      <c r="F252" s="155"/>
      <c r="G252" s="144"/>
      <c r="H252" s="144"/>
      <c r="I252" s="144"/>
    </row>
    <row r="253" spans="1:9" ht="14" x14ac:dyDescent="0.15">
      <c r="A253" s="144"/>
      <c r="B253" s="144"/>
      <c r="C253" s="145"/>
      <c r="D253" s="145"/>
      <c r="E253" s="154"/>
      <c r="F253" s="155"/>
      <c r="G253" s="144"/>
      <c r="H253" s="144"/>
      <c r="I253" s="144"/>
    </row>
    <row r="254" spans="1:9" ht="14" x14ac:dyDescent="0.15">
      <c r="A254" s="144"/>
      <c r="B254" s="144"/>
      <c r="C254" s="145"/>
      <c r="D254" s="145"/>
      <c r="E254" s="154"/>
      <c r="F254" s="155"/>
      <c r="G254" s="144"/>
      <c r="H254" s="144"/>
      <c r="I254" s="144"/>
    </row>
    <row r="255" spans="1:9" ht="14" x14ac:dyDescent="0.15">
      <c r="A255" s="144"/>
      <c r="B255" s="144"/>
      <c r="C255" s="145"/>
      <c r="D255" s="145"/>
      <c r="E255" s="154"/>
      <c r="F255" s="155"/>
      <c r="G255" s="144"/>
      <c r="H255" s="144"/>
      <c r="I255" s="144"/>
    </row>
    <row r="256" spans="1:9" ht="14" x14ac:dyDescent="0.15">
      <c r="A256" s="144"/>
      <c r="B256" s="144"/>
      <c r="C256" s="145"/>
      <c r="D256" s="145"/>
      <c r="E256" s="154"/>
      <c r="F256" s="155"/>
      <c r="G256" s="144"/>
      <c r="H256" s="144"/>
      <c r="I256" s="144"/>
    </row>
    <row r="257" spans="1:9" ht="14" x14ac:dyDescent="0.15">
      <c r="A257" s="144"/>
      <c r="B257" s="144"/>
      <c r="C257" s="145"/>
      <c r="D257" s="145"/>
      <c r="E257" s="154"/>
      <c r="F257" s="155"/>
      <c r="G257" s="144"/>
      <c r="H257" s="144"/>
      <c r="I257" s="144"/>
    </row>
    <row r="258" spans="1:9" ht="14" x14ac:dyDescent="0.15">
      <c r="A258" s="144"/>
      <c r="B258" s="144"/>
      <c r="C258" s="145"/>
      <c r="D258" s="145"/>
      <c r="E258" s="154"/>
      <c r="F258" s="155"/>
      <c r="G258" s="144"/>
      <c r="H258" s="144"/>
      <c r="I258" s="144"/>
    </row>
    <row r="259" spans="1:9" ht="14" x14ac:dyDescent="0.15">
      <c r="A259" s="144"/>
      <c r="B259" s="144"/>
      <c r="C259" s="145"/>
      <c r="D259" s="145"/>
      <c r="E259" s="154"/>
      <c r="F259" s="155"/>
      <c r="G259" s="144"/>
      <c r="H259" s="144"/>
      <c r="I259" s="144"/>
    </row>
    <row r="260" spans="1:9" ht="14" x14ac:dyDescent="0.15">
      <c r="A260" s="144"/>
      <c r="B260" s="144"/>
      <c r="C260" s="145"/>
      <c r="D260" s="145"/>
      <c r="E260" s="154"/>
      <c r="F260" s="155"/>
      <c r="G260" s="144"/>
      <c r="H260" s="144"/>
      <c r="I260" s="144"/>
    </row>
    <row r="261" spans="1:9" ht="14" x14ac:dyDescent="0.15">
      <c r="A261" s="144"/>
      <c r="B261" s="144"/>
      <c r="C261" s="145"/>
      <c r="D261" s="145"/>
      <c r="E261" s="154"/>
      <c r="F261" s="155"/>
      <c r="G261" s="144"/>
      <c r="H261" s="144"/>
      <c r="I261" s="144"/>
    </row>
    <row r="262" spans="1:9" ht="14" x14ac:dyDescent="0.15">
      <c r="A262" s="144"/>
      <c r="B262" s="144"/>
      <c r="C262" s="145"/>
      <c r="D262" s="145"/>
      <c r="E262" s="154"/>
      <c r="F262" s="155"/>
      <c r="G262" s="144"/>
      <c r="H262" s="144"/>
      <c r="I262" s="144"/>
    </row>
    <row r="263" spans="1:9" ht="14" x14ac:dyDescent="0.15">
      <c r="A263" s="144"/>
      <c r="B263" s="144"/>
      <c r="C263" s="145"/>
      <c r="D263" s="145"/>
      <c r="E263" s="154"/>
      <c r="F263" s="155"/>
      <c r="G263" s="144"/>
      <c r="H263" s="144"/>
      <c r="I263" s="144"/>
    </row>
    <row r="264" spans="1:9" ht="14" x14ac:dyDescent="0.15">
      <c r="A264" s="144"/>
      <c r="B264" s="144"/>
      <c r="C264" s="145"/>
      <c r="D264" s="145"/>
      <c r="E264" s="154"/>
      <c r="F264" s="155"/>
      <c r="G264" s="144"/>
      <c r="H264" s="144"/>
      <c r="I264" s="144"/>
    </row>
    <row r="265" spans="1:9" ht="14" x14ac:dyDescent="0.15">
      <c r="A265" s="144"/>
      <c r="B265" s="144"/>
      <c r="C265" s="145"/>
      <c r="D265" s="145"/>
      <c r="E265" s="154"/>
      <c r="F265" s="155"/>
      <c r="G265" s="144"/>
      <c r="H265" s="144"/>
      <c r="I265" s="144"/>
    </row>
    <row r="266" spans="1:9" ht="14" x14ac:dyDescent="0.15">
      <c r="A266" s="144"/>
      <c r="B266" s="144"/>
      <c r="C266" s="145"/>
      <c r="D266" s="145"/>
      <c r="E266" s="154"/>
      <c r="F266" s="155"/>
      <c r="G266" s="144"/>
      <c r="H266" s="144"/>
      <c r="I266" s="144"/>
    </row>
    <row r="267" spans="1:9" ht="14" x14ac:dyDescent="0.15">
      <c r="A267" s="144"/>
      <c r="B267" s="144"/>
      <c r="C267" s="145"/>
      <c r="D267" s="145"/>
      <c r="E267" s="154"/>
      <c r="F267" s="155"/>
      <c r="G267" s="144"/>
      <c r="H267" s="144"/>
      <c r="I267" s="144"/>
    </row>
    <row r="268" spans="1:9" ht="14" x14ac:dyDescent="0.15">
      <c r="A268" s="144"/>
      <c r="B268" s="144"/>
      <c r="C268" s="145"/>
      <c r="D268" s="145"/>
      <c r="E268" s="154"/>
      <c r="F268" s="155"/>
      <c r="G268" s="144"/>
      <c r="H268" s="144"/>
      <c r="I268" s="144"/>
    </row>
    <row r="269" spans="1:9" ht="14" x14ac:dyDescent="0.15">
      <c r="A269" s="144"/>
      <c r="B269" s="144"/>
      <c r="C269" s="145"/>
      <c r="D269" s="145"/>
      <c r="E269" s="154"/>
      <c r="F269" s="155"/>
      <c r="G269" s="144"/>
      <c r="H269" s="144"/>
      <c r="I269" s="144"/>
    </row>
    <row r="270" spans="1:9" ht="14" x14ac:dyDescent="0.15">
      <c r="A270" s="144"/>
      <c r="B270" s="144"/>
      <c r="C270" s="145"/>
      <c r="D270" s="145"/>
      <c r="E270" s="154"/>
      <c r="F270" s="155"/>
      <c r="G270" s="144"/>
      <c r="H270" s="144"/>
      <c r="I270" s="144"/>
    </row>
    <row r="271" spans="1:9" ht="14" x14ac:dyDescent="0.15">
      <c r="A271" s="144"/>
      <c r="B271" s="144"/>
      <c r="C271" s="145"/>
      <c r="D271" s="145"/>
      <c r="E271" s="154"/>
      <c r="F271" s="155"/>
      <c r="G271" s="144"/>
      <c r="H271" s="144"/>
      <c r="I271" s="144"/>
    </row>
    <row r="272" spans="1:9" ht="14" x14ac:dyDescent="0.15">
      <c r="A272" s="144"/>
      <c r="B272" s="144"/>
      <c r="C272" s="145"/>
      <c r="D272" s="145"/>
      <c r="E272" s="154"/>
      <c r="F272" s="155"/>
      <c r="G272" s="144"/>
      <c r="H272" s="144"/>
      <c r="I272" s="144"/>
    </row>
    <row r="273" spans="1:9" ht="14" x14ac:dyDescent="0.15">
      <c r="A273" s="144"/>
      <c r="B273" s="144"/>
      <c r="C273" s="145"/>
      <c r="D273" s="145"/>
      <c r="E273" s="154"/>
      <c r="F273" s="155"/>
      <c r="G273" s="144"/>
      <c r="H273" s="144"/>
      <c r="I273" s="144"/>
    </row>
    <row r="274" spans="1:9" ht="14" x14ac:dyDescent="0.15">
      <c r="A274" s="144"/>
      <c r="B274" s="144"/>
      <c r="C274" s="145"/>
      <c r="D274" s="145"/>
      <c r="E274" s="154"/>
      <c r="F274" s="155"/>
      <c r="G274" s="144"/>
      <c r="H274" s="144"/>
      <c r="I274" s="144"/>
    </row>
    <row r="275" spans="1:9" ht="14" x14ac:dyDescent="0.15">
      <c r="A275" s="144"/>
      <c r="B275" s="144"/>
      <c r="C275" s="145"/>
      <c r="D275" s="145"/>
      <c r="E275" s="154"/>
      <c r="F275" s="155"/>
      <c r="G275" s="144"/>
      <c r="H275" s="144"/>
      <c r="I275" s="144"/>
    </row>
    <row r="276" spans="1:9" ht="14" x14ac:dyDescent="0.15">
      <c r="A276" s="144"/>
      <c r="B276" s="144"/>
      <c r="C276" s="145"/>
      <c r="D276" s="145"/>
      <c r="E276" s="154"/>
      <c r="F276" s="155"/>
      <c r="G276" s="144"/>
      <c r="H276" s="144"/>
      <c r="I276" s="144"/>
    </row>
    <row r="277" spans="1:9" ht="14" x14ac:dyDescent="0.15">
      <c r="A277" s="144"/>
      <c r="B277" s="144"/>
      <c r="C277" s="145"/>
      <c r="D277" s="145"/>
      <c r="E277" s="154"/>
      <c r="F277" s="155"/>
      <c r="G277" s="144"/>
      <c r="H277" s="144"/>
      <c r="I277" s="144"/>
    </row>
    <row r="278" spans="1:9" ht="14" x14ac:dyDescent="0.15">
      <c r="A278" s="144"/>
      <c r="B278" s="144"/>
      <c r="C278" s="145"/>
      <c r="D278" s="145"/>
      <c r="E278" s="154"/>
      <c r="F278" s="155"/>
      <c r="G278" s="144"/>
      <c r="H278" s="144"/>
      <c r="I278" s="144"/>
    </row>
    <row r="279" spans="1:9" ht="14" x14ac:dyDescent="0.15">
      <c r="A279" s="144"/>
      <c r="B279" s="144"/>
      <c r="C279" s="145"/>
      <c r="D279" s="145"/>
      <c r="E279" s="154"/>
      <c r="F279" s="155"/>
      <c r="G279" s="144"/>
      <c r="H279" s="144"/>
      <c r="I279" s="144"/>
    </row>
    <row r="280" spans="1:9" ht="14" x14ac:dyDescent="0.15">
      <c r="A280" s="144"/>
      <c r="B280" s="144"/>
      <c r="C280" s="145"/>
      <c r="D280" s="145"/>
      <c r="E280" s="154"/>
      <c r="F280" s="155"/>
      <c r="G280" s="144"/>
      <c r="H280" s="144"/>
      <c r="I280" s="144"/>
    </row>
    <row r="281" spans="1:9" ht="14" x14ac:dyDescent="0.15">
      <c r="A281" s="144"/>
      <c r="B281" s="144"/>
      <c r="C281" s="145"/>
      <c r="D281" s="145"/>
      <c r="E281" s="154"/>
      <c r="F281" s="155"/>
      <c r="G281" s="144"/>
      <c r="H281" s="144"/>
      <c r="I281" s="144"/>
    </row>
    <row r="282" spans="1:9" ht="14" x14ac:dyDescent="0.15">
      <c r="A282" s="144"/>
      <c r="B282" s="144"/>
      <c r="C282" s="145"/>
      <c r="D282" s="145"/>
      <c r="E282" s="154"/>
      <c r="F282" s="155"/>
      <c r="G282" s="144"/>
      <c r="H282" s="144"/>
      <c r="I282" s="144"/>
    </row>
    <row r="283" spans="1:9" ht="14" x14ac:dyDescent="0.15">
      <c r="A283" s="144"/>
      <c r="B283" s="144"/>
      <c r="C283" s="145"/>
      <c r="D283" s="145"/>
      <c r="E283" s="154"/>
      <c r="F283" s="155"/>
      <c r="G283" s="144"/>
      <c r="H283" s="144"/>
      <c r="I283" s="144"/>
    </row>
    <row r="284" spans="1:9" ht="14" x14ac:dyDescent="0.15">
      <c r="A284" s="144"/>
      <c r="B284" s="144"/>
      <c r="C284" s="145"/>
      <c r="D284" s="145"/>
      <c r="E284" s="154"/>
      <c r="F284" s="155"/>
      <c r="G284" s="144"/>
      <c r="H284" s="144"/>
      <c r="I284" s="144"/>
    </row>
    <row r="285" spans="1:9" ht="14" x14ac:dyDescent="0.15">
      <c r="A285" s="144"/>
      <c r="B285" s="144"/>
      <c r="C285" s="145"/>
      <c r="D285" s="145"/>
      <c r="E285" s="154"/>
      <c r="F285" s="155"/>
      <c r="G285" s="144"/>
      <c r="H285" s="144"/>
      <c r="I285" s="144"/>
    </row>
    <row r="286" spans="1:9" ht="14" x14ac:dyDescent="0.15">
      <c r="A286" s="144"/>
      <c r="B286" s="144"/>
      <c r="C286" s="145"/>
      <c r="D286" s="145"/>
      <c r="E286" s="154"/>
      <c r="F286" s="155"/>
      <c r="G286" s="144"/>
      <c r="H286" s="144"/>
      <c r="I286" s="144"/>
    </row>
    <row r="287" spans="1:9" ht="14" x14ac:dyDescent="0.15">
      <c r="A287" s="144"/>
      <c r="B287" s="144"/>
      <c r="C287" s="145"/>
      <c r="D287" s="145"/>
      <c r="E287" s="154"/>
      <c r="F287" s="155"/>
      <c r="G287" s="144"/>
      <c r="H287" s="144"/>
      <c r="I287" s="144"/>
    </row>
    <row r="288" spans="1:9" ht="14" x14ac:dyDescent="0.15">
      <c r="A288" s="144"/>
      <c r="B288" s="144"/>
      <c r="C288" s="145"/>
      <c r="D288" s="145"/>
      <c r="E288" s="154"/>
      <c r="F288" s="155"/>
      <c r="G288" s="144"/>
      <c r="H288" s="144"/>
      <c r="I288" s="144"/>
    </row>
    <row r="289" spans="1:9" ht="14" x14ac:dyDescent="0.15">
      <c r="A289" s="144"/>
      <c r="B289" s="144"/>
      <c r="C289" s="145"/>
      <c r="D289" s="145"/>
      <c r="E289" s="154"/>
      <c r="F289" s="155"/>
      <c r="G289" s="144"/>
      <c r="H289" s="144"/>
      <c r="I289" s="144"/>
    </row>
    <row r="290" spans="1:9" ht="14" x14ac:dyDescent="0.15">
      <c r="A290" s="144"/>
      <c r="B290" s="144"/>
      <c r="C290" s="145"/>
      <c r="D290" s="145"/>
      <c r="E290" s="154"/>
      <c r="F290" s="155"/>
      <c r="G290" s="144"/>
      <c r="H290" s="144"/>
      <c r="I290" s="144"/>
    </row>
    <row r="291" spans="1:9" ht="14" x14ac:dyDescent="0.15">
      <c r="A291" s="144"/>
      <c r="B291" s="144"/>
      <c r="C291" s="145"/>
      <c r="D291" s="145"/>
      <c r="E291" s="154"/>
      <c r="F291" s="155"/>
      <c r="G291" s="144"/>
      <c r="H291" s="144"/>
      <c r="I291" s="144"/>
    </row>
    <row r="292" spans="1:9" ht="14" x14ac:dyDescent="0.15">
      <c r="A292" s="144"/>
      <c r="B292" s="144"/>
      <c r="C292" s="145"/>
      <c r="D292" s="145"/>
      <c r="E292" s="154"/>
      <c r="F292" s="155"/>
      <c r="G292" s="144"/>
      <c r="H292" s="144"/>
      <c r="I292" s="144"/>
    </row>
    <row r="293" spans="1:9" ht="14" x14ac:dyDescent="0.15">
      <c r="A293" s="144"/>
      <c r="B293" s="144"/>
      <c r="C293" s="145"/>
      <c r="D293" s="145"/>
      <c r="E293" s="154"/>
      <c r="F293" s="155"/>
      <c r="G293" s="144"/>
      <c r="H293" s="144"/>
      <c r="I293" s="144"/>
    </row>
    <row r="294" spans="1:9" ht="14" x14ac:dyDescent="0.15">
      <c r="A294" s="144"/>
      <c r="B294" s="144"/>
      <c r="C294" s="145"/>
      <c r="D294" s="145"/>
      <c r="E294" s="154"/>
      <c r="F294" s="155"/>
      <c r="G294" s="144"/>
      <c r="H294" s="144"/>
      <c r="I294" s="144"/>
    </row>
    <row r="295" spans="1:9" ht="14" x14ac:dyDescent="0.15">
      <c r="A295" s="144"/>
      <c r="B295" s="144"/>
      <c r="C295" s="145"/>
      <c r="D295" s="145"/>
      <c r="E295" s="154"/>
      <c r="F295" s="155"/>
      <c r="G295" s="144"/>
      <c r="H295" s="144"/>
      <c r="I295" s="144"/>
    </row>
    <row r="296" spans="1:9" ht="14" x14ac:dyDescent="0.15">
      <c r="A296" s="144"/>
      <c r="B296" s="144"/>
      <c r="C296" s="145"/>
      <c r="D296" s="145"/>
      <c r="E296" s="154"/>
      <c r="F296" s="155"/>
      <c r="G296" s="144"/>
      <c r="H296" s="144"/>
      <c r="I296" s="144"/>
    </row>
    <row r="297" spans="1:9" ht="14" x14ac:dyDescent="0.15">
      <c r="A297" s="144"/>
      <c r="B297" s="144"/>
      <c r="C297" s="145"/>
      <c r="D297" s="145"/>
      <c r="E297" s="154"/>
      <c r="F297" s="155"/>
      <c r="G297" s="144"/>
      <c r="H297" s="144"/>
      <c r="I297" s="144"/>
    </row>
    <row r="298" spans="1:9" ht="14" x14ac:dyDescent="0.15">
      <c r="A298" s="144"/>
      <c r="B298" s="144"/>
      <c r="C298" s="145"/>
      <c r="D298" s="145"/>
      <c r="E298" s="154"/>
      <c r="F298" s="155"/>
      <c r="G298" s="144"/>
      <c r="H298" s="144"/>
      <c r="I298" s="144"/>
    </row>
    <row r="299" spans="1:9" ht="14" x14ac:dyDescent="0.15">
      <c r="A299" s="144"/>
      <c r="B299" s="144"/>
      <c r="C299" s="145"/>
      <c r="D299" s="145"/>
      <c r="E299" s="154"/>
      <c r="F299" s="155"/>
      <c r="G299" s="144"/>
      <c r="H299" s="144"/>
      <c r="I299" s="144"/>
    </row>
    <row r="300" spans="1:9" ht="14" x14ac:dyDescent="0.15">
      <c r="A300" s="144"/>
      <c r="B300" s="144"/>
      <c r="C300" s="145"/>
      <c r="D300" s="145"/>
      <c r="E300" s="154"/>
      <c r="F300" s="155"/>
      <c r="G300" s="144"/>
      <c r="H300" s="144"/>
      <c r="I300" s="144"/>
    </row>
    <row r="301" spans="1:9" ht="14" x14ac:dyDescent="0.15">
      <c r="A301" s="144"/>
      <c r="B301" s="144"/>
      <c r="C301" s="145"/>
      <c r="D301" s="145"/>
      <c r="E301" s="154"/>
      <c r="F301" s="155"/>
      <c r="G301" s="144"/>
      <c r="H301" s="144"/>
      <c r="I301" s="144"/>
    </row>
    <row r="302" spans="1:9" ht="14" x14ac:dyDescent="0.15">
      <c r="A302" s="144"/>
      <c r="B302" s="144"/>
      <c r="C302" s="145"/>
      <c r="D302" s="145"/>
      <c r="E302" s="154"/>
      <c r="F302" s="155"/>
      <c r="G302" s="144"/>
      <c r="H302" s="144"/>
      <c r="I302" s="144"/>
    </row>
    <row r="303" spans="1:9" ht="14" x14ac:dyDescent="0.15">
      <c r="A303" s="144"/>
      <c r="B303" s="144"/>
      <c r="C303" s="145"/>
      <c r="D303" s="145"/>
      <c r="E303" s="154"/>
      <c r="F303" s="155"/>
      <c r="G303" s="144"/>
      <c r="H303" s="144"/>
      <c r="I303" s="144"/>
    </row>
    <row r="304" spans="1:9" ht="14" x14ac:dyDescent="0.15">
      <c r="A304" s="144"/>
      <c r="B304" s="144"/>
      <c r="C304" s="145"/>
      <c r="D304" s="145"/>
      <c r="E304" s="154"/>
      <c r="F304" s="155"/>
      <c r="G304" s="144"/>
      <c r="H304" s="144"/>
      <c r="I304" s="144"/>
    </row>
    <row r="305" spans="1:9" ht="14" x14ac:dyDescent="0.15">
      <c r="A305" s="144"/>
      <c r="B305" s="144"/>
      <c r="C305" s="145"/>
      <c r="D305" s="145"/>
      <c r="E305" s="154"/>
      <c r="F305" s="155"/>
      <c r="G305" s="144"/>
      <c r="H305" s="144"/>
      <c r="I305" s="144"/>
    </row>
    <row r="306" spans="1:9" ht="14" x14ac:dyDescent="0.15">
      <c r="A306" s="144"/>
      <c r="B306" s="144"/>
      <c r="C306" s="145"/>
      <c r="D306" s="145"/>
      <c r="E306" s="154"/>
      <c r="F306" s="155"/>
      <c r="G306" s="144"/>
      <c r="H306" s="144"/>
      <c r="I306" s="144"/>
    </row>
    <row r="307" spans="1:9" ht="14" x14ac:dyDescent="0.15">
      <c r="A307" s="144"/>
      <c r="B307" s="144"/>
      <c r="C307" s="145"/>
      <c r="D307" s="145"/>
      <c r="E307" s="154"/>
      <c r="F307" s="155"/>
      <c r="G307" s="144"/>
      <c r="H307" s="144"/>
      <c r="I307" s="144"/>
    </row>
    <row r="308" spans="1:9" ht="14" x14ac:dyDescent="0.15">
      <c r="A308" s="144"/>
      <c r="B308" s="144"/>
      <c r="C308" s="145"/>
      <c r="D308" s="145"/>
      <c r="E308" s="154"/>
      <c r="F308" s="155"/>
      <c r="G308" s="144"/>
      <c r="H308" s="144"/>
      <c r="I308" s="144"/>
    </row>
    <row r="309" spans="1:9" ht="14" x14ac:dyDescent="0.15">
      <c r="A309" s="144"/>
      <c r="B309" s="144"/>
      <c r="C309" s="145"/>
      <c r="D309" s="145"/>
      <c r="E309" s="154"/>
      <c r="F309" s="155"/>
      <c r="G309" s="144"/>
      <c r="H309" s="144"/>
      <c r="I309" s="144"/>
    </row>
    <row r="310" spans="1:9" ht="14" x14ac:dyDescent="0.15">
      <c r="A310" s="144"/>
      <c r="B310" s="144"/>
      <c r="C310" s="145"/>
      <c r="D310" s="145"/>
      <c r="E310" s="154"/>
      <c r="F310" s="155"/>
      <c r="G310" s="144"/>
      <c r="H310" s="144"/>
      <c r="I310" s="144"/>
    </row>
    <row r="311" spans="1:9" ht="14" x14ac:dyDescent="0.15">
      <c r="A311" s="144"/>
      <c r="B311" s="144"/>
      <c r="C311" s="145"/>
      <c r="D311" s="145"/>
      <c r="E311" s="154"/>
      <c r="F311" s="155"/>
      <c r="G311" s="144"/>
      <c r="H311" s="144"/>
      <c r="I311" s="144"/>
    </row>
    <row r="312" spans="1:9" ht="14" x14ac:dyDescent="0.15">
      <c r="A312" s="144"/>
      <c r="B312" s="144"/>
      <c r="C312" s="145"/>
      <c r="D312" s="145"/>
      <c r="E312" s="154"/>
      <c r="F312" s="155"/>
      <c r="G312" s="144"/>
      <c r="H312" s="144"/>
      <c r="I312" s="144"/>
    </row>
    <row r="313" spans="1:9" ht="14" x14ac:dyDescent="0.15">
      <c r="A313" s="144"/>
      <c r="B313" s="144"/>
      <c r="C313" s="145"/>
      <c r="D313" s="145"/>
      <c r="E313" s="154"/>
      <c r="F313" s="155"/>
      <c r="G313" s="144"/>
      <c r="H313" s="144"/>
      <c r="I313" s="144"/>
    </row>
    <row r="314" spans="1:9" ht="14" x14ac:dyDescent="0.15">
      <c r="A314" s="144"/>
      <c r="B314" s="144"/>
      <c r="C314" s="145"/>
      <c r="D314" s="145"/>
      <c r="E314" s="154"/>
      <c r="F314" s="155"/>
      <c r="G314" s="144"/>
      <c r="H314" s="144"/>
      <c r="I314" s="144"/>
    </row>
    <row r="315" spans="1:9" ht="14" x14ac:dyDescent="0.15">
      <c r="A315" s="144"/>
      <c r="B315" s="144"/>
      <c r="C315" s="145"/>
      <c r="D315" s="145"/>
      <c r="E315" s="154"/>
      <c r="F315" s="155"/>
      <c r="G315" s="144"/>
      <c r="H315" s="144"/>
      <c r="I315" s="144"/>
    </row>
    <row r="316" spans="1:9" ht="14" x14ac:dyDescent="0.15">
      <c r="A316" s="144"/>
      <c r="B316" s="144"/>
      <c r="C316" s="145"/>
      <c r="D316" s="145"/>
      <c r="E316" s="154"/>
      <c r="F316" s="155"/>
      <c r="G316" s="144"/>
      <c r="H316" s="144"/>
      <c r="I316" s="144"/>
    </row>
    <row r="317" spans="1:9" ht="14" x14ac:dyDescent="0.15">
      <c r="A317" s="144"/>
      <c r="B317" s="144"/>
      <c r="C317" s="145"/>
      <c r="D317" s="145"/>
      <c r="E317" s="154"/>
      <c r="F317" s="155"/>
      <c r="G317" s="144"/>
      <c r="H317" s="144"/>
      <c r="I317" s="144"/>
    </row>
    <row r="318" spans="1:9" ht="14" x14ac:dyDescent="0.15">
      <c r="A318" s="144"/>
      <c r="B318" s="144"/>
      <c r="C318" s="145"/>
      <c r="D318" s="145"/>
      <c r="E318" s="154"/>
      <c r="F318" s="155"/>
      <c r="G318" s="144"/>
      <c r="H318" s="144"/>
      <c r="I318" s="144"/>
    </row>
    <row r="319" spans="1:9" ht="14" x14ac:dyDescent="0.15">
      <c r="A319" s="144"/>
      <c r="B319" s="144"/>
      <c r="C319" s="145"/>
      <c r="D319" s="145"/>
      <c r="E319" s="154"/>
      <c r="F319" s="155"/>
      <c r="G319" s="144"/>
      <c r="H319" s="144"/>
      <c r="I319" s="144"/>
    </row>
    <row r="320" spans="1:9" ht="14" x14ac:dyDescent="0.15">
      <c r="A320" s="144"/>
      <c r="B320" s="144"/>
      <c r="C320" s="145"/>
      <c r="D320" s="145"/>
      <c r="E320" s="154"/>
      <c r="F320" s="155"/>
      <c r="G320" s="144"/>
      <c r="H320" s="144"/>
      <c r="I320" s="144"/>
    </row>
    <row r="321" spans="1:9" ht="14" x14ac:dyDescent="0.15">
      <c r="A321" s="144"/>
      <c r="B321" s="144"/>
      <c r="C321" s="145"/>
      <c r="D321" s="145"/>
      <c r="E321" s="154"/>
      <c r="F321" s="155"/>
      <c r="G321" s="144"/>
      <c r="H321" s="144"/>
      <c r="I321" s="144"/>
    </row>
    <row r="322" spans="1:9" ht="14" x14ac:dyDescent="0.15">
      <c r="A322" s="144"/>
      <c r="B322" s="144"/>
      <c r="C322" s="145"/>
      <c r="D322" s="145"/>
      <c r="E322" s="154"/>
      <c r="F322" s="155"/>
      <c r="G322" s="144"/>
      <c r="H322" s="144"/>
      <c r="I322" s="144"/>
    </row>
    <row r="323" spans="1:9" ht="14" x14ac:dyDescent="0.15">
      <c r="A323" s="144"/>
      <c r="B323" s="144"/>
      <c r="C323" s="145"/>
      <c r="D323" s="145"/>
      <c r="E323" s="154"/>
      <c r="F323" s="155"/>
      <c r="G323" s="144"/>
      <c r="H323" s="144"/>
      <c r="I323" s="144"/>
    </row>
    <row r="324" spans="1:9" ht="14" x14ac:dyDescent="0.15">
      <c r="A324" s="144"/>
      <c r="B324" s="144"/>
      <c r="C324" s="145"/>
      <c r="D324" s="145"/>
      <c r="E324" s="154"/>
      <c r="F324" s="155"/>
      <c r="G324" s="144"/>
      <c r="H324" s="144"/>
      <c r="I324" s="144"/>
    </row>
    <row r="325" spans="1:9" ht="14" x14ac:dyDescent="0.15">
      <c r="A325" s="144"/>
      <c r="B325" s="144"/>
      <c r="C325" s="145"/>
      <c r="D325" s="145"/>
      <c r="E325" s="154"/>
      <c r="F325" s="155"/>
      <c r="G325" s="144"/>
      <c r="H325" s="144"/>
      <c r="I325" s="144"/>
    </row>
    <row r="326" spans="1:9" ht="14" x14ac:dyDescent="0.15">
      <c r="A326" s="144"/>
      <c r="B326" s="144"/>
      <c r="C326" s="145"/>
      <c r="D326" s="145"/>
      <c r="E326" s="154"/>
      <c r="F326" s="155"/>
      <c r="G326" s="144"/>
      <c r="H326" s="144"/>
      <c r="I326" s="144"/>
    </row>
    <row r="327" spans="1:9" ht="14" x14ac:dyDescent="0.15">
      <c r="A327" s="144"/>
      <c r="B327" s="144"/>
      <c r="C327" s="145"/>
      <c r="D327" s="145"/>
      <c r="E327" s="154"/>
      <c r="F327" s="155"/>
      <c r="G327" s="144"/>
      <c r="H327" s="144"/>
      <c r="I327" s="144"/>
    </row>
    <row r="328" spans="1:9" ht="14" x14ac:dyDescent="0.15">
      <c r="A328" s="144"/>
      <c r="B328" s="144"/>
      <c r="C328" s="145"/>
      <c r="D328" s="145"/>
      <c r="E328" s="154"/>
      <c r="F328" s="155"/>
      <c r="G328" s="144"/>
      <c r="H328" s="144"/>
      <c r="I328" s="144"/>
    </row>
    <row r="329" spans="1:9" ht="14" x14ac:dyDescent="0.15">
      <c r="A329" s="144"/>
      <c r="B329" s="144"/>
      <c r="C329" s="145"/>
      <c r="D329" s="145"/>
      <c r="E329" s="154"/>
      <c r="F329" s="155"/>
      <c r="G329" s="144"/>
      <c r="H329" s="144"/>
      <c r="I329" s="144"/>
    </row>
    <row r="330" spans="1:9" ht="14" x14ac:dyDescent="0.15">
      <c r="A330" s="144"/>
      <c r="B330" s="144"/>
      <c r="C330" s="145"/>
      <c r="D330" s="145"/>
      <c r="E330" s="154"/>
      <c r="F330" s="155"/>
      <c r="G330" s="144"/>
      <c r="H330" s="144"/>
      <c r="I330" s="144"/>
    </row>
    <row r="331" spans="1:9" ht="14" x14ac:dyDescent="0.15">
      <c r="A331" s="144"/>
      <c r="B331" s="144"/>
      <c r="C331" s="145"/>
      <c r="D331" s="145"/>
      <c r="E331" s="154"/>
      <c r="F331" s="155"/>
      <c r="G331" s="144"/>
      <c r="H331" s="144"/>
      <c r="I331" s="144"/>
    </row>
    <row r="332" spans="1:9" ht="14" x14ac:dyDescent="0.15">
      <c r="A332" s="144"/>
      <c r="B332" s="144"/>
      <c r="C332" s="145"/>
      <c r="D332" s="145"/>
      <c r="E332" s="154"/>
      <c r="F332" s="155"/>
      <c r="G332" s="144"/>
      <c r="H332" s="144"/>
      <c r="I332" s="144"/>
    </row>
    <row r="333" spans="1:9" ht="14" x14ac:dyDescent="0.15">
      <c r="A333" s="144"/>
      <c r="B333" s="144"/>
      <c r="C333" s="145"/>
      <c r="D333" s="145"/>
      <c r="E333" s="154"/>
      <c r="F333" s="155"/>
      <c r="G333" s="144"/>
      <c r="H333" s="144"/>
      <c r="I333" s="144"/>
    </row>
    <row r="334" spans="1:9" ht="14" x14ac:dyDescent="0.15">
      <c r="A334" s="144"/>
      <c r="B334" s="144"/>
      <c r="C334" s="145"/>
      <c r="D334" s="145"/>
      <c r="E334" s="154"/>
      <c r="F334" s="155"/>
      <c r="G334" s="144"/>
      <c r="H334" s="144"/>
      <c r="I334" s="144"/>
    </row>
    <row r="335" spans="1:9" ht="14" x14ac:dyDescent="0.15">
      <c r="A335" s="144"/>
      <c r="B335" s="144"/>
      <c r="C335" s="145"/>
      <c r="D335" s="145"/>
      <c r="E335" s="154"/>
      <c r="F335" s="155"/>
      <c r="G335" s="144"/>
      <c r="H335" s="144"/>
      <c r="I335" s="144"/>
    </row>
    <row r="336" spans="1:9" ht="14" x14ac:dyDescent="0.15">
      <c r="A336" s="144"/>
      <c r="B336" s="144"/>
      <c r="C336" s="145"/>
      <c r="D336" s="145"/>
      <c r="E336" s="154"/>
      <c r="F336" s="155"/>
      <c r="G336" s="144"/>
      <c r="H336" s="144"/>
      <c r="I336" s="144"/>
    </row>
    <row r="337" spans="1:9" ht="14" x14ac:dyDescent="0.15">
      <c r="A337" s="144"/>
      <c r="B337" s="144"/>
      <c r="C337" s="145"/>
      <c r="D337" s="145"/>
      <c r="E337" s="154"/>
      <c r="F337" s="155"/>
      <c r="G337" s="144"/>
      <c r="H337" s="144"/>
      <c r="I337" s="144"/>
    </row>
    <row r="338" spans="1:9" ht="14" x14ac:dyDescent="0.15">
      <c r="A338" s="144"/>
      <c r="B338" s="144"/>
      <c r="C338" s="145"/>
      <c r="D338" s="145"/>
      <c r="E338" s="154"/>
      <c r="F338" s="155"/>
      <c r="G338" s="144"/>
      <c r="H338" s="144"/>
      <c r="I338" s="144"/>
    </row>
    <row r="339" spans="1:9" ht="14" x14ac:dyDescent="0.15">
      <c r="A339" s="144"/>
      <c r="B339" s="144"/>
      <c r="C339" s="145"/>
      <c r="D339" s="145"/>
      <c r="E339" s="154"/>
      <c r="F339" s="155"/>
      <c r="G339" s="144"/>
      <c r="H339" s="144"/>
      <c r="I339" s="144"/>
    </row>
    <row r="340" spans="1:9" ht="14" x14ac:dyDescent="0.15">
      <c r="A340" s="144"/>
      <c r="B340" s="144"/>
      <c r="C340" s="145"/>
      <c r="D340" s="145"/>
      <c r="E340" s="154"/>
      <c r="F340" s="155"/>
      <c r="G340" s="144"/>
      <c r="H340" s="144"/>
      <c r="I340" s="144"/>
    </row>
    <row r="341" spans="1:9" ht="14" x14ac:dyDescent="0.15">
      <c r="A341" s="144"/>
      <c r="B341" s="144"/>
      <c r="C341" s="145"/>
      <c r="D341" s="145"/>
      <c r="E341" s="154"/>
      <c r="F341" s="155"/>
      <c r="G341" s="144"/>
      <c r="H341" s="144"/>
      <c r="I341" s="144"/>
    </row>
    <row r="342" spans="1:9" ht="14" x14ac:dyDescent="0.15">
      <c r="A342" s="144"/>
      <c r="B342" s="144"/>
      <c r="C342" s="145"/>
      <c r="D342" s="145"/>
      <c r="E342" s="154"/>
      <c r="F342" s="155"/>
      <c r="G342" s="144"/>
      <c r="H342" s="144"/>
      <c r="I342" s="144"/>
    </row>
    <row r="343" spans="1:9" ht="14" x14ac:dyDescent="0.15">
      <c r="A343" s="144"/>
      <c r="B343" s="144"/>
      <c r="C343" s="145"/>
      <c r="D343" s="145"/>
      <c r="E343" s="154"/>
      <c r="F343" s="155"/>
      <c r="G343" s="144"/>
      <c r="H343" s="144"/>
      <c r="I343" s="144"/>
    </row>
    <row r="344" spans="1:9" ht="14" x14ac:dyDescent="0.15">
      <c r="A344" s="144"/>
      <c r="B344" s="144"/>
      <c r="C344" s="145"/>
      <c r="D344" s="145"/>
      <c r="E344" s="154"/>
      <c r="F344" s="155"/>
      <c r="G344" s="144"/>
      <c r="H344" s="144"/>
      <c r="I344" s="144"/>
    </row>
    <row r="345" spans="1:9" ht="14" x14ac:dyDescent="0.15">
      <c r="A345" s="144"/>
      <c r="B345" s="144"/>
      <c r="C345" s="145"/>
      <c r="D345" s="145"/>
      <c r="E345" s="154"/>
      <c r="F345" s="155"/>
      <c r="G345" s="144"/>
      <c r="H345" s="144"/>
      <c r="I345" s="144"/>
    </row>
    <row r="346" spans="1:9" ht="14" x14ac:dyDescent="0.15">
      <c r="A346" s="144"/>
      <c r="B346" s="144"/>
      <c r="C346" s="145"/>
      <c r="D346" s="145"/>
      <c r="E346" s="154"/>
      <c r="F346" s="155"/>
      <c r="G346" s="144"/>
      <c r="H346" s="144"/>
      <c r="I346" s="144"/>
    </row>
    <row r="347" spans="1:9" ht="14" x14ac:dyDescent="0.15">
      <c r="A347" s="144"/>
      <c r="B347" s="144"/>
      <c r="C347" s="145"/>
      <c r="D347" s="145"/>
      <c r="E347" s="154"/>
      <c r="F347" s="155"/>
      <c r="G347" s="144"/>
      <c r="H347" s="144"/>
      <c r="I347" s="144"/>
    </row>
    <row r="348" spans="1:9" ht="14" x14ac:dyDescent="0.15">
      <c r="A348" s="144"/>
      <c r="B348" s="144"/>
      <c r="C348" s="145"/>
      <c r="D348" s="145"/>
      <c r="E348" s="154"/>
      <c r="F348" s="155"/>
      <c r="G348" s="144"/>
      <c r="H348" s="144"/>
      <c r="I348" s="144"/>
    </row>
    <row r="349" spans="1:9" ht="14" x14ac:dyDescent="0.15">
      <c r="A349" s="144"/>
      <c r="B349" s="144"/>
      <c r="C349" s="145"/>
      <c r="D349" s="145"/>
      <c r="E349" s="154"/>
      <c r="F349" s="155"/>
      <c r="G349" s="144"/>
      <c r="H349" s="144"/>
      <c r="I349" s="144"/>
    </row>
    <row r="350" spans="1:9" ht="14" x14ac:dyDescent="0.15">
      <c r="A350" s="144"/>
      <c r="B350" s="144"/>
      <c r="C350" s="145"/>
      <c r="D350" s="145"/>
      <c r="E350" s="154"/>
      <c r="F350" s="155"/>
      <c r="G350" s="144"/>
      <c r="H350" s="144"/>
      <c r="I350" s="144"/>
    </row>
    <row r="351" spans="1:9" ht="14" x14ac:dyDescent="0.15">
      <c r="A351" s="144"/>
      <c r="B351" s="144"/>
      <c r="C351" s="145"/>
      <c r="D351" s="145"/>
      <c r="E351" s="154"/>
      <c r="F351" s="155"/>
      <c r="G351" s="144"/>
      <c r="H351" s="144"/>
      <c r="I351" s="144"/>
    </row>
    <row r="352" spans="1:9" ht="14" x14ac:dyDescent="0.15">
      <c r="A352" s="144"/>
      <c r="B352" s="144"/>
      <c r="C352" s="145"/>
      <c r="D352" s="145"/>
      <c r="E352" s="154"/>
      <c r="F352" s="155"/>
      <c r="G352" s="144"/>
      <c r="H352" s="144"/>
      <c r="I352" s="144"/>
    </row>
    <row r="353" spans="1:9" ht="14" x14ac:dyDescent="0.15">
      <c r="A353" s="144"/>
      <c r="B353" s="144"/>
      <c r="C353" s="145"/>
      <c r="D353" s="145"/>
      <c r="E353" s="154"/>
      <c r="F353" s="155"/>
      <c r="G353" s="144"/>
      <c r="H353" s="144"/>
      <c r="I353" s="144"/>
    </row>
    <row r="354" spans="1:9" ht="14" x14ac:dyDescent="0.15">
      <c r="A354" s="144"/>
      <c r="B354" s="144"/>
      <c r="C354" s="145"/>
      <c r="D354" s="145"/>
      <c r="E354" s="154"/>
      <c r="F354" s="155"/>
      <c r="G354" s="144"/>
      <c r="H354" s="144"/>
      <c r="I354" s="144"/>
    </row>
    <row r="355" spans="1:9" ht="14" x14ac:dyDescent="0.15">
      <c r="A355" s="144"/>
      <c r="B355" s="144"/>
      <c r="C355" s="145"/>
      <c r="D355" s="145"/>
      <c r="E355" s="154"/>
      <c r="F355" s="155"/>
      <c r="G355" s="144"/>
      <c r="H355" s="144"/>
      <c r="I355" s="144"/>
    </row>
    <row r="356" spans="1:9" ht="14" x14ac:dyDescent="0.15">
      <c r="A356" s="144"/>
      <c r="B356" s="144"/>
      <c r="C356" s="145"/>
      <c r="D356" s="145"/>
      <c r="E356" s="154"/>
      <c r="F356" s="155"/>
      <c r="G356" s="144"/>
      <c r="H356" s="144"/>
      <c r="I356" s="144"/>
    </row>
    <row r="357" spans="1:9" ht="14" x14ac:dyDescent="0.15">
      <c r="A357" s="144"/>
      <c r="B357" s="144"/>
      <c r="C357" s="145"/>
      <c r="D357" s="145"/>
      <c r="E357" s="154"/>
      <c r="F357" s="155"/>
      <c r="G357" s="144"/>
      <c r="H357" s="144"/>
      <c r="I357" s="144"/>
    </row>
    <row r="358" spans="1:9" ht="14" x14ac:dyDescent="0.15">
      <c r="A358" s="144"/>
      <c r="B358" s="144"/>
      <c r="C358" s="145"/>
      <c r="D358" s="145"/>
      <c r="E358" s="154"/>
      <c r="F358" s="155"/>
      <c r="G358" s="144"/>
      <c r="H358" s="144"/>
      <c r="I358" s="144"/>
    </row>
    <row r="359" spans="1:9" ht="14" x14ac:dyDescent="0.15">
      <c r="A359" s="144"/>
      <c r="B359" s="144"/>
      <c r="C359" s="145"/>
      <c r="D359" s="145"/>
      <c r="E359" s="154"/>
      <c r="F359" s="155"/>
      <c r="G359" s="144"/>
      <c r="H359" s="144"/>
      <c r="I359" s="144"/>
    </row>
    <row r="360" spans="1:9" ht="14" x14ac:dyDescent="0.15">
      <c r="A360" s="144"/>
      <c r="B360" s="144"/>
      <c r="C360" s="145"/>
      <c r="D360" s="145"/>
      <c r="E360" s="154"/>
      <c r="F360" s="155"/>
      <c r="G360" s="144"/>
      <c r="H360" s="144"/>
      <c r="I360" s="144"/>
    </row>
    <row r="361" spans="1:9" ht="14" x14ac:dyDescent="0.15">
      <c r="A361" s="144"/>
      <c r="B361" s="144"/>
      <c r="C361" s="145"/>
      <c r="D361" s="145"/>
      <c r="E361" s="154"/>
      <c r="F361" s="155"/>
      <c r="G361" s="144"/>
      <c r="H361" s="144"/>
      <c r="I361" s="144"/>
    </row>
    <row r="362" spans="1:9" ht="14" x14ac:dyDescent="0.15">
      <c r="A362" s="144"/>
      <c r="B362" s="144"/>
      <c r="C362" s="145"/>
      <c r="D362" s="145"/>
      <c r="E362" s="154"/>
      <c r="F362" s="155"/>
      <c r="G362" s="144"/>
      <c r="H362" s="144"/>
      <c r="I362" s="144"/>
    </row>
    <row r="363" spans="1:9" ht="14" x14ac:dyDescent="0.15">
      <c r="A363" s="144"/>
      <c r="B363" s="144"/>
      <c r="C363" s="145"/>
      <c r="D363" s="145"/>
      <c r="E363" s="154"/>
      <c r="F363" s="155"/>
      <c r="G363" s="144"/>
      <c r="H363" s="144"/>
      <c r="I363" s="144"/>
    </row>
    <row r="364" spans="1:9" ht="14" x14ac:dyDescent="0.15">
      <c r="A364" s="144"/>
      <c r="B364" s="144"/>
      <c r="C364" s="145"/>
      <c r="D364" s="145"/>
      <c r="E364" s="154"/>
      <c r="F364" s="155"/>
      <c r="G364" s="144"/>
      <c r="H364" s="144"/>
      <c r="I364" s="144"/>
    </row>
    <row r="365" spans="1:9" ht="14" x14ac:dyDescent="0.15">
      <c r="A365" s="144"/>
      <c r="B365" s="144"/>
      <c r="C365" s="145"/>
      <c r="D365" s="145"/>
      <c r="E365" s="154"/>
      <c r="F365" s="155"/>
      <c r="G365" s="144"/>
      <c r="H365" s="144"/>
      <c r="I365" s="144"/>
    </row>
    <row r="366" spans="1:9" ht="14" x14ac:dyDescent="0.15">
      <c r="A366" s="144"/>
      <c r="B366" s="144"/>
      <c r="C366" s="145"/>
      <c r="D366" s="145"/>
      <c r="E366" s="154"/>
      <c r="F366" s="155"/>
      <c r="G366" s="144"/>
      <c r="H366" s="144"/>
      <c r="I366" s="144"/>
    </row>
    <row r="367" spans="1:9" ht="14" x14ac:dyDescent="0.15">
      <c r="A367" s="144"/>
      <c r="B367" s="144"/>
      <c r="C367" s="145"/>
      <c r="D367" s="145"/>
      <c r="E367" s="154"/>
      <c r="F367" s="155"/>
      <c r="G367" s="144"/>
      <c r="H367" s="144"/>
      <c r="I367" s="144"/>
    </row>
    <row r="368" spans="1:9" ht="14" x14ac:dyDescent="0.15">
      <c r="A368" s="144"/>
      <c r="B368" s="144"/>
      <c r="C368" s="145"/>
      <c r="D368" s="145"/>
      <c r="E368" s="154"/>
      <c r="F368" s="155"/>
      <c r="G368" s="144"/>
      <c r="H368" s="144"/>
      <c r="I368" s="144"/>
    </row>
    <row r="369" spans="1:9" ht="14" x14ac:dyDescent="0.15">
      <c r="A369" s="144"/>
      <c r="B369" s="144"/>
      <c r="C369" s="145"/>
      <c r="D369" s="145"/>
      <c r="E369" s="154"/>
      <c r="F369" s="155"/>
      <c r="G369" s="144"/>
      <c r="H369" s="144"/>
      <c r="I369" s="144"/>
    </row>
    <row r="370" spans="1:9" ht="14" x14ac:dyDescent="0.15">
      <c r="A370" s="144"/>
      <c r="B370" s="144"/>
      <c r="C370" s="145"/>
      <c r="D370" s="145"/>
      <c r="E370" s="154"/>
      <c r="F370" s="155"/>
      <c r="G370" s="144"/>
      <c r="H370" s="144"/>
      <c r="I370" s="144"/>
    </row>
    <row r="371" spans="1:9" ht="14" x14ac:dyDescent="0.15">
      <c r="A371" s="144"/>
      <c r="B371" s="144"/>
      <c r="C371" s="145"/>
      <c r="D371" s="145"/>
      <c r="E371" s="154"/>
      <c r="F371" s="155"/>
      <c r="G371" s="144"/>
      <c r="H371" s="144"/>
      <c r="I371" s="144"/>
    </row>
    <row r="372" spans="1:9" ht="14" x14ac:dyDescent="0.15">
      <c r="A372" s="144"/>
      <c r="B372" s="144"/>
      <c r="C372" s="145"/>
      <c r="D372" s="145"/>
      <c r="E372" s="154"/>
      <c r="F372" s="155"/>
      <c r="G372" s="144"/>
      <c r="H372" s="144"/>
      <c r="I372" s="144"/>
    </row>
    <row r="373" spans="1:9" ht="14" x14ac:dyDescent="0.15">
      <c r="A373" s="144"/>
      <c r="B373" s="144"/>
      <c r="C373" s="145"/>
      <c r="D373" s="145"/>
      <c r="E373" s="154"/>
      <c r="F373" s="155"/>
      <c r="G373" s="144"/>
      <c r="H373" s="144"/>
      <c r="I373" s="144"/>
    </row>
    <row r="374" spans="1:9" ht="14" x14ac:dyDescent="0.15">
      <c r="A374" s="144"/>
      <c r="B374" s="144"/>
      <c r="C374" s="145"/>
      <c r="D374" s="145"/>
      <c r="E374" s="154"/>
      <c r="F374" s="155"/>
      <c r="G374" s="144"/>
      <c r="H374" s="144"/>
      <c r="I374" s="144"/>
    </row>
    <row r="375" spans="1:9" ht="14" x14ac:dyDescent="0.15">
      <c r="A375" s="144"/>
      <c r="B375" s="144"/>
      <c r="C375" s="145"/>
      <c r="D375" s="145"/>
      <c r="E375" s="154"/>
      <c r="F375" s="155"/>
      <c r="G375" s="144"/>
      <c r="H375" s="144"/>
      <c r="I375" s="144"/>
    </row>
    <row r="376" spans="1:9" ht="14" x14ac:dyDescent="0.15">
      <c r="A376" s="144"/>
      <c r="B376" s="144"/>
      <c r="C376" s="145"/>
      <c r="D376" s="145"/>
      <c r="E376" s="154"/>
      <c r="F376" s="155"/>
      <c r="G376" s="144"/>
      <c r="H376" s="144"/>
      <c r="I376" s="144"/>
    </row>
    <row r="377" spans="1:9" ht="14" x14ac:dyDescent="0.15">
      <c r="A377" s="144"/>
      <c r="B377" s="144"/>
      <c r="C377" s="145"/>
      <c r="D377" s="145"/>
      <c r="E377" s="154"/>
      <c r="F377" s="155"/>
      <c r="G377" s="144"/>
      <c r="H377" s="144"/>
      <c r="I377" s="144"/>
    </row>
    <row r="378" spans="1:9" ht="14" x14ac:dyDescent="0.15">
      <c r="A378" s="144"/>
      <c r="B378" s="144"/>
      <c r="C378" s="145"/>
      <c r="D378" s="145"/>
      <c r="E378" s="154"/>
      <c r="F378" s="155"/>
      <c r="G378" s="144"/>
      <c r="H378" s="144"/>
      <c r="I378" s="144"/>
    </row>
    <row r="379" spans="1:9" ht="14" x14ac:dyDescent="0.15">
      <c r="A379" s="144"/>
      <c r="B379" s="144"/>
      <c r="C379" s="145"/>
      <c r="D379" s="145"/>
      <c r="E379" s="154"/>
      <c r="F379" s="155"/>
      <c r="G379" s="144"/>
      <c r="H379" s="144"/>
      <c r="I379" s="144"/>
    </row>
    <row r="380" spans="1:9" ht="14" x14ac:dyDescent="0.15">
      <c r="A380" s="144"/>
      <c r="B380" s="144"/>
      <c r="C380" s="145"/>
      <c r="D380" s="145"/>
      <c r="E380" s="154"/>
      <c r="F380" s="155"/>
      <c r="G380" s="144"/>
      <c r="H380" s="144"/>
      <c r="I380" s="144"/>
    </row>
    <row r="381" spans="1:9" ht="14" x14ac:dyDescent="0.15">
      <c r="A381" s="144"/>
      <c r="B381" s="144"/>
      <c r="C381" s="145"/>
      <c r="D381" s="145"/>
      <c r="E381" s="154"/>
      <c r="F381" s="155"/>
      <c r="G381" s="144"/>
      <c r="H381" s="144"/>
      <c r="I381" s="144"/>
    </row>
    <row r="382" spans="1:9" ht="14" x14ac:dyDescent="0.15">
      <c r="A382" s="144"/>
      <c r="B382" s="144"/>
      <c r="C382" s="145"/>
      <c r="D382" s="145"/>
      <c r="E382" s="154"/>
      <c r="F382" s="155"/>
      <c r="G382" s="144"/>
      <c r="H382" s="144"/>
      <c r="I382" s="144"/>
    </row>
    <row r="383" spans="1:9" ht="14" x14ac:dyDescent="0.15">
      <c r="A383" s="144"/>
      <c r="B383" s="144"/>
      <c r="C383" s="145"/>
      <c r="D383" s="145"/>
      <c r="E383" s="154"/>
      <c r="F383" s="155"/>
      <c r="G383" s="144"/>
      <c r="H383" s="144"/>
      <c r="I383" s="144"/>
    </row>
    <row r="384" spans="1:9" ht="14" x14ac:dyDescent="0.15">
      <c r="A384" s="144"/>
      <c r="B384" s="144"/>
      <c r="C384" s="145"/>
      <c r="D384" s="145"/>
      <c r="E384" s="154"/>
      <c r="F384" s="155"/>
      <c r="G384" s="144"/>
      <c r="H384" s="144"/>
      <c r="I384" s="144"/>
    </row>
    <row r="385" spans="1:9" ht="14" x14ac:dyDescent="0.15">
      <c r="A385" s="144"/>
      <c r="B385" s="144"/>
      <c r="C385" s="145"/>
      <c r="D385" s="145"/>
      <c r="E385" s="154"/>
      <c r="F385" s="155"/>
      <c r="G385" s="144"/>
      <c r="H385" s="144"/>
      <c r="I385" s="144"/>
    </row>
    <row r="386" spans="1:9" ht="14" x14ac:dyDescent="0.15">
      <c r="A386" s="144"/>
      <c r="B386" s="144"/>
      <c r="C386" s="145"/>
      <c r="D386" s="145"/>
      <c r="E386" s="154"/>
      <c r="F386" s="155"/>
      <c r="G386" s="144"/>
      <c r="H386" s="144"/>
      <c r="I386" s="144"/>
    </row>
    <row r="387" spans="1:9" ht="14" x14ac:dyDescent="0.15">
      <c r="A387" s="144"/>
      <c r="B387" s="144"/>
      <c r="C387" s="145"/>
      <c r="D387" s="145"/>
      <c r="E387" s="154"/>
      <c r="F387" s="155"/>
      <c r="G387" s="144"/>
      <c r="H387" s="144"/>
      <c r="I387" s="144"/>
    </row>
    <row r="388" spans="1:9" ht="14" x14ac:dyDescent="0.15">
      <c r="A388" s="144"/>
      <c r="B388" s="144"/>
      <c r="C388" s="145"/>
      <c r="D388" s="145"/>
      <c r="E388" s="154"/>
      <c r="F388" s="155"/>
      <c r="G388" s="144"/>
      <c r="H388" s="144"/>
      <c r="I388" s="144"/>
    </row>
    <row r="389" spans="1:9" ht="14" x14ac:dyDescent="0.15">
      <c r="A389" s="144"/>
      <c r="B389" s="144"/>
      <c r="C389" s="145"/>
      <c r="D389" s="145"/>
      <c r="E389" s="154"/>
      <c r="F389" s="155"/>
      <c r="G389" s="144"/>
      <c r="H389" s="144"/>
      <c r="I389" s="144"/>
    </row>
    <row r="390" spans="1:9" ht="14" x14ac:dyDescent="0.15">
      <c r="A390" s="144"/>
      <c r="B390" s="144"/>
      <c r="C390" s="145"/>
      <c r="D390" s="145"/>
      <c r="E390" s="154"/>
      <c r="F390" s="155"/>
      <c r="G390" s="144"/>
      <c r="H390" s="144"/>
      <c r="I390" s="144"/>
    </row>
    <row r="391" spans="1:9" ht="14" x14ac:dyDescent="0.15">
      <c r="A391" s="144"/>
      <c r="B391" s="144"/>
      <c r="C391" s="145"/>
      <c r="D391" s="145"/>
      <c r="E391" s="154"/>
      <c r="F391" s="155"/>
      <c r="G391" s="144"/>
      <c r="H391" s="144"/>
      <c r="I391" s="144"/>
    </row>
    <row r="392" spans="1:9" ht="14" x14ac:dyDescent="0.15">
      <c r="A392" s="144"/>
      <c r="B392" s="144"/>
      <c r="C392" s="145"/>
      <c r="D392" s="145"/>
      <c r="E392" s="154"/>
      <c r="F392" s="155"/>
      <c r="G392" s="144"/>
      <c r="H392" s="144"/>
      <c r="I392" s="144"/>
    </row>
    <row r="393" spans="1:9" ht="14" x14ac:dyDescent="0.15">
      <c r="A393" s="144"/>
      <c r="B393" s="144"/>
      <c r="C393" s="145"/>
      <c r="D393" s="145"/>
      <c r="E393" s="154"/>
      <c r="F393" s="155"/>
      <c r="G393" s="144"/>
      <c r="H393" s="144"/>
      <c r="I393" s="144"/>
    </row>
    <row r="394" spans="1:9" ht="14" x14ac:dyDescent="0.15">
      <c r="A394" s="144"/>
      <c r="B394" s="144"/>
      <c r="C394" s="145"/>
      <c r="D394" s="145"/>
      <c r="E394" s="154"/>
      <c r="F394" s="155"/>
      <c r="G394" s="144"/>
      <c r="H394" s="144"/>
      <c r="I394" s="144"/>
    </row>
    <row r="395" spans="1:9" ht="14" x14ac:dyDescent="0.15">
      <c r="A395" s="144"/>
      <c r="B395" s="144"/>
      <c r="C395" s="145"/>
      <c r="D395" s="145"/>
      <c r="E395" s="154"/>
      <c r="F395" s="155"/>
      <c r="G395" s="144"/>
      <c r="H395" s="144"/>
      <c r="I395" s="144"/>
    </row>
    <row r="396" spans="1:9" ht="14" x14ac:dyDescent="0.15">
      <c r="A396" s="144"/>
      <c r="B396" s="144"/>
      <c r="C396" s="145"/>
      <c r="D396" s="145"/>
      <c r="E396" s="154"/>
      <c r="F396" s="155"/>
      <c r="G396" s="144"/>
      <c r="H396" s="144"/>
      <c r="I396" s="144"/>
    </row>
    <row r="397" spans="1:9" ht="14" x14ac:dyDescent="0.15">
      <c r="A397" s="144"/>
      <c r="B397" s="144"/>
      <c r="C397" s="145"/>
      <c r="D397" s="145"/>
      <c r="E397" s="154"/>
      <c r="F397" s="155"/>
      <c r="G397" s="144"/>
      <c r="H397" s="144"/>
      <c r="I397" s="144"/>
    </row>
    <row r="398" spans="1:9" ht="14" x14ac:dyDescent="0.15">
      <c r="A398" s="144"/>
      <c r="B398" s="144"/>
      <c r="C398" s="145"/>
      <c r="D398" s="145"/>
      <c r="E398" s="154"/>
      <c r="F398" s="155"/>
      <c r="G398" s="144"/>
      <c r="H398" s="144"/>
      <c r="I398" s="144"/>
    </row>
    <row r="399" spans="1:9" ht="14" x14ac:dyDescent="0.15">
      <c r="A399" s="144"/>
      <c r="B399" s="144"/>
      <c r="C399" s="145"/>
      <c r="D399" s="145"/>
      <c r="E399" s="154"/>
      <c r="F399" s="155"/>
      <c r="G399" s="144"/>
      <c r="H399" s="144"/>
      <c r="I399" s="144"/>
    </row>
    <row r="400" spans="1:9" ht="14" x14ac:dyDescent="0.15">
      <c r="A400" s="144"/>
      <c r="B400" s="144"/>
      <c r="C400" s="145"/>
      <c r="D400" s="145"/>
      <c r="E400" s="154"/>
      <c r="F400" s="155"/>
      <c r="G400" s="144"/>
      <c r="H400" s="144"/>
      <c r="I400" s="144"/>
    </row>
    <row r="401" spans="1:9" ht="14" x14ac:dyDescent="0.15">
      <c r="A401" s="144"/>
      <c r="B401" s="144"/>
      <c r="C401" s="145"/>
      <c r="D401" s="145"/>
      <c r="E401" s="154"/>
      <c r="F401" s="155"/>
      <c r="G401" s="144"/>
      <c r="H401" s="144"/>
      <c r="I401" s="144"/>
    </row>
    <row r="402" spans="1:9" ht="14" x14ac:dyDescent="0.15">
      <c r="A402" s="144"/>
      <c r="B402" s="144"/>
      <c r="C402" s="145"/>
      <c r="D402" s="145"/>
      <c r="E402" s="154"/>
      <c r="F402" s="155"/>
      <c r="G402" s="144"/>
      <c r="H402" s="144"/>
      <c r="I402" s="144"/>
    </row>
    <row r="403" spans="1:9" ht="14" x14ac:dyDescent="0.15">
      <c r="A403" s="144"/>
      <c r="B403" s="144"/>
      <c r="C403" s="145"/>
      <c r="D403" s="145"/>
      <c r="E403" s="154"/>
      <c r="F403" s="155"/>
      <c r="G403" s="144"/>
      <c r="H403" s="144"/>
      <c r="I403" s="144"/>
    </row>
    <row r="404" spans="1:9" ht="14" x14ac:dyDescent="0.15">
      <c r="A404" s="144"/>
      <c r="B404" s="144"/>
      <c r="C404" s="145"/>
      <c r="D404" s="145"/>
      <c r="E404" s="154"/>
      <c r="F404" s="155"/>
      <c r="G404" s="144"/>
      <c r="H404" s="144"/>
      <c r="I404" s="144"/>
    </row>
    <row r="405" spans="1:9" ht="14" x14ac:dyDescent="0.15">
      <c r="A405" s="144"/>
      <c r="B405" s="144"/>
      <c r="C405" s="145"/>
      <c r="D405" s="145"/>
      <c r="E405" s="154"/>
      <c r="F405" s="155"/>
      <c r="G405" s="144"/>
      <c r="H405" s="144"/>
      <c r="I405" s="144"/>
    </row>
    <row r="406" spans="1:9" ht="14" x14ac:dyDescent="0.15">
      <c r="A406" s="144"/>
      <c r="B406" s="144"/>
      <c r="C406" s="145"/>
      <c r="D406" s="145"/>
      <c r="E406" s="154"/>
      <c r="F406" s="155"/>
      <c r="G406" s="144"/>
      <c r="H406" s="144"/>
      <c r="I406" s="144"/>
    </row>
    <row r="407" spans="1:9" ht="14" x14ac:dyDescent="0.15">
      <c r="A407" s="144"/>
      <c r="B407" s="144"/>
      <c r="C407" s="145"/>
      <c r="D407" s="145"/>
      <c r="E407" s="154"/>
      <c r="F407" s="155"/>
      <c r="G407" s="144"/>
      <c r="H407" s="144"/>
      <c r="I407" s="144"/>
    </row>
    <row r="408" spans="1:9" ht="14" x14ac:dyDescent="0.15">
      <c r="A408" s="144"/>
      <c r="B408" s="144"/>
      <c r="C408" s="145"/>
      <c r="D408" s="145"/>
      <c r="E408" s="154"/>
      <c r="F408" s="155"/>
      <c r="G408" s="144"/>
      <c r="H408" s="144"/>
      <c r="I408" s="144"/>
    </row>
    <row r="409" spans="1:9" ht="14" x14ac:dyDescent="0.15">
      <c r="A409" s="144"/>
      <c r="B409" s="144"/>
      <c r="C409" s="145"/>
      <c r="D409" s="145"/>
      <c r="E409" s="154"/>
      <c r="F409" s="155"/>
      <c r="G409" s="144"/>
      <c r="H409" s="144"/>
      <c r="I409" s="144"/>
    </row>
    <row r="410" spans="1:9" ht="14" x14ac:dyDescent="0.15">
      <c r="A410" s="144"/>
      <c r="B410" s="144"/>
      <c r="C410" s="145"/>
      <c r="D410" s="145"/>
      <c r="E410" s="154"/>
      <c r="F410" s="155"/>
      <c r="G410" s="144"/>
      <c r="H410" s="144"/>
      <c r="I410" s="144"/>
    </row>
    <row r="411" spans="1:9" ht="14" x14ac:dyDescent="0.15">
      <c r="A411" s="144"/>
      <c r="B411" s="144"/>
      <c r="C411" s="145"/>
      <c r="D411" s="145"/>
      <c r="E411" s="154"/>
      <c r="F411" s="155"/>
      <c r="G411" s="144"/>
      <c r="H411" s="144"/>
      <c r="I411" s="144"/>
    </row>
    <row r="412" spans="1:9" ht="14" x14ac:dyDescent="0.15">
      <c r="A412" s="144"/>
      <c r="B412" s="144"/>
      <c r="C412" s="145"/>
      <c r="D412" s="145"/>
      <c r="E412" s="154"/>
      <c r="F412" s="155"/>
      <c r="G412" s="144"/>
      <c r="H412" s="144"/>
      <c r="I412" s="144"/>
    </row>
    <row r="413" spans="1:9" ht="14" x14ac:dyDescent="0.15">
      <c r="A413" s="144"/>
      <c r="B413" s="144"/>
      <c r="C413" s="145"/>
      <c r="D413" s="145"/>
      <c r="E413" s="154"/>
      <c r="F413" s="155"/>
      <c r="G413" s="144"/>
      <c r="H413" s="144"/>
      <c r="I413" s="144"/>
    </row>
    <row r="414" spans="1:9" ht="14" x14ac:dyDescent="0.15">
      <c r="A414" s="144"/>
      <c r="B414" s="144"/>
      <c r="C414" s="145"/>
      <c r="D414" s="145"/>
      <c r="E414" s="154"/>
      <c r="F414" s="155"/>
      <c r="G414" s="144"/>
      <c r="H414" s="144"/>
      <c r="I414" s="144"/>
    </row>
    <row r="415" spans="1:9" ht="14" x14ac:dyDescent="0.15">
      <c r="A415" s="144"/>
      <c r="B415" s="144"/>
      <c r="C415" s="145"/>
      <c r="D415" s="145"/>
      <c r="E415" s="154"/>
      <c r="F415" s="155"/>
      <c r="G415" s="144"/>
      <c r="H415" s="144"/>
      <c r="I415" s="144"/>
    </row>
    <row r="416" spans="1:9" ht="14" x14ac:dyDescent="0.15">
      <c r="A416" s="144"/>
      <c r="B416" s="144"/>
      <c r="C416" s="145"/>
      <c r="D416" s="145"/>
      <c r="E416" s="154"/>
      <c r="F416" s="155"/>
      <c r="G416" s="144"/>
      <c r="H416" s="144"/>
      <c r="I416" s="144"/>
    </row>
    <row r="417" spans="1:9" ht="14" x14ac:dyDescent="0.15">
      <c r="A417" s="144"/>
      <c r="B417" s="144"/>
      <c r="C417" s="145"/>
      <c r="D417" s="145"/>
      <c r="E417" s="154"/>
      <c r="F417" s="155"/>
      <c r="G417" s="144"/>
      <c r="H417" s="144"/>
      <c r="I417" s="144"/>
    </row>
    <row r="418" spans="1:9" ht="14" x14ac:dyDescent="0.15">
      <c r="A418" s="144"/>
      <c r="B418" s="144"/>
      <c r="C418" s="145"/>
      <c r="D418" s="145"/>
      <c r="E418" s="154"/>
      <c r="F418" s="155"/>
      <c r="G418" s="144"/>
      <c r="H418" s="144"/>
      <c r="I418" s="144"/>
    </row>
    <row r="419" spans="1:9" ht="14" x14ac:dyDescent="0.15">
      <c r="A419" s="144"/>
      <c r="B419" s="144"/>
      <c r="C419" s="145"/>
      <c r="D419" s="145"/>
      <c r="E419" s="154"/>
      <c r="F419" s="155"/>
      <c r="G419" s="144"/>
      <c r="H419" s="144"/>
      <c r="I419" s="144"/>
    </row>
    <row r="420" spans="1:9" ht="14" x14ac:dyDescent="0.15">
      <c r="A420" s="144"/>
      <c r="B420" s="144"/>
      <c r="C420" s="145"/>
      <c r="D420" s="145"/>
      <c r="E420" s="154"/>
      <c r="F420" s="155"/>
      <c r="G420" s="144"/>
      <c r="H420" s="144"/>
      <c r="I420" s="144"/>
    </row>
    <row r="421" spans="1:9" ht="14" x14ac:dyDescent="0.15">
      <c r="A421" s="144"/>
      <c r="B421" s="144"/>
      <c r="C421" s="145"/>
      <c r="D421" s="145"/>
      <c r="E421" s="154"/>
      <c r="F421" s="155"/>
      <c r="G421" s="144"/>
      <c r="H421" s="144"/>
      <c r="I421" s="144"/>
    </row>
    <row r="422" spans="1:9" ht="14" x14ac:dyDescent="0.15">
      <c r="A422" s="144"/>
      <c r="B422" s="144"/>
      <c r="C422" s="145"/>
      <c r="D422" s="145"/>
      <c r="E422" s="154"/>
      <c r="F422" s="155"/>
      <c r="G422" s="144"/>
      <c r="H422" s="144"/>
      <c r="I422" s="144"/>
    </row>
    <row r="423" spans="1:9" ht="14" x14ac:dyDescent="0.15">
      <c r="A423" s="144"/>
      <c r="B423" s="144"/>
      <c r="C423" s="145"/>
      <c r="D423" s="145"/>
      <c r="E423" s="154"/>
      <c r="F423" s="155"/>
      <c r="G423" s="144"/>
      <c r="H423" s="144"/>
      <c r="I423" s="144"/>
    </row>
    <row r="424" spans="1:9" ht="14" x14ac:dyDescent="0.15">
      <c r="A424" s="144"/>
      <c r="B424" s="144"/>
      <c r="C424" s="145"/>
      <c r="D424" s="145"/>
      <c r="E424" s="154"/>
      <c r="F424" s="155"/>
      <c r="G424" s="144"/>
      <c r="H424" s="144"/>
      <c r="I424" s="144"/>
    </row>
    <row r="425" spans="1:9" ht="14" x14ac:dyDescent="0.15">
      <c r="A425" s="144"/>
      <c r="B425" s="144"/>
      <c r="C425" s="145"/>
      <c r="D425" s="145"/>
      <c r="E425" s="154"/>
      <c r="F425" s="155"/>
      <c r="G425" s="144"/>
      <c r="H425" s="144"/>
      <c r="I425" s="144"/>
    </row>
    <row r="426" spans="1:9" ht="14" x14ac:dyDescent="0.15">
      <c r="A426" s="144"/>
      <c r="B426" s="144"/>
      <c r="C426" s="145"/>
      <c r="D426" s="145"/>
      <c r="E426" s="154"/>
      <c r="F426" s="155"/>
      <c r="G426" s="144"/>
      <c r="H426" s="144"/>
      <c r="I426" s="144"/>
    </row>
    <row r="427" spans="1:9" ht="14" x14ac:dyDescent="0.15">
      <c r="A427" s="144"/>
      <c r="B427" s="144"/>
      <c r="C427" s="145"/>
      <c r="D427" s="145"/>
      <c r="E427" s="154"/>
      <c r="F427" s="155"/>
      <c r="G427" s="144"/>
      <c r="H427" s="144"/>
      <c r="I427" s="144"/>
    </row>
    <row r="428" spans="1:9" ht="14" x14ac:dyDescent="0.15">
      <c r="A428" s="144"/>
      <c r="B428" s="144"/>
      <c r="C428" s="145"/>
      <c r="D428" s="145"/>
      <c r="E428" s="154"/>
      <c r="F428" s="155"/>
      <c r="G428" s="144"/>
      <c r="H428" s="144"/>
      <c r="I428" s="144"/>
    </row>
    <row r="429" spans="1:9" ht="14" x14ac:dyDescent="0.15">
      <c r="A429" s="144"/>
      <c r="B429" s="144"/>
      <c r="C429" s="145"/>
      <c r="D429" s="145"/>
      <c r="E429" s="154"/>
      <c r="F429" s="155"/>
      <c r="G429" s="144"/>
      <c r="H429" s="144"/>
      <c r="I429" s="144"/>
    </row>
    <row r="430" spans="1:9" ht="14" x14ac:dyDescent="0.15">
      <c r="A430" s="144"/>
      <c r="B430" s="144"/>
      <c r="C430" s="145"/>
      <c r="D430" s="145"/>
      <c r="E430" s="154"/>
      <c r="F430" s="155"/>
      <c r="G430" s="144"/>
      <c r="H430" s="144"/>
      <c r="I430" s="144"/>
    </row>
    <row r="431" spans="1:9" ht="14" x14ac:dyDescent="0.15">
      <c r="A431" s="144"/>
      <c r="B431" s="144"/>
      <c r="C431" s="145"/>
      <c r="D431" s="145"/>
      <c r="E431" s="154"/>
      <c r="F431" s="155"/>
      <c r="G431" s="144"/>
      <c r="H431" s="144"/>
      <c r="I431" s="144"/>
    </row>
    <row r="432" spans="1:9" ht="14" x14ac:dyDescent="0.15">
      <c r="A432" s="144"/>
      <c r="B432" s="144"/>
      <c r="C432" s="145"/>
      <c r="D432" s="145"/>
      <c r="E432" s="154"/>
      <c r="F432" s="155"/>
      <c r="G432" s="144"/>
      <c r="H432" s="144"/>
      <c r="I432" s="144"/>
    </row>
    <row r="433" spans="1:9" ht="14" x14ac:dyDescent="0.15">
      <c r="A433" s="144"/>
      <c r="B433" s="144"/>
      <c r="C433" s="145"/>
      <c r="D433" s="145"/>
      <c r="E433" s="154"/>
      <c r="F433" s="155"/>
      <c r="G433" s="144"/>
      <c r="H433" s="144"/>
      <c r="I433" s="144"/>
    </row>
    <row r="434" spans="1:9" ht="14" x14ac:dyDescent="0.15">
      <c r="A434" s="144"/>
      <c r="B434" s="144"/>
      <c r="C434" s="145"/>
      <c r="D434" s="145"/>
      <c r="E434" s="154"/>
      <c r="F434" s="155"/>
      <c r="G434" s="144"/>
      <c r="H434" s="144"/>
      <c r="I434" s="144"/>
    </row>
    <row r="435" spans="1:9" ht="14" x14ac:dyDescent="0.15">
      <c r="A435" s="144"/>
      <c r="B435" s="144"/>
      <c r="C435" s="145"/>
      <c r="D435" s="145"/>
      <c r="E435" s="154"/>
      <c r="F435" s="155"/>
      <c r="G435" s="144"/>
      <c r="H435" s="144"/>
      <c r="I435" s="144"/>
    </row>
    <row r="436" spans="1:9" ht="14" x14ac:dyDescent="0.15">
      <c r="A436" s="144"/>
      <c r="B436" s="144"/>
      <c r="C436" s="145"/>
      <c r="D436" s="145"/>
      <c r="E436" s="154"/>
      <c r="F436" s="155"/>
      <c r="G436" s="144"/>
      <c r="H436" s="144"/>
      <c r="I436" s="144"/>
    </row>
    <row r="437" spans="1:9" ht="14" x14ac:dyDescent="0.15">
      <c r="A437" s="144"/>
      <c r="B437" s="144"/>
      <c r="C437" s="145"/>
      <c r="D437" s="145"/>
      <c r="E437" s="154"/>
      <c r="F437" s="155"/>
      <c r="G437" s="144"/>
      <c r="H437" s="144"/>
      <c r="I437" s="144"/>
    </row>
    <row r="438" spans="1:9" ht="14" x14ac:dyDescent="0.15">
      <c r="A438" s="144"/>
      <c r="B438" s="144"/>
      <c r="C438" s="145"/>
      <c r="D438" s="145"/>
      <c r="E438" s="154"/>
      <c r="F438" s="155"/>
      <c r="G438" s="144"/>
      <c r="H438" s="144"/>
      <c r="I438" s="144"/>
    </row>
    <row r="439" spans="1:9" ht="14" x14ac:dyDescent="0.15">
      <c r="A439" s="144"/>
      <c r="B439" s="144"/>
      <c r="C439" s="145"/>
      <c r="D439" s="145"/>
      <c r="E439" s="154"/>
      <c r="F439" s="155"/>
      <c r="G439" s="144"/>
      <c r="H439" s="144"/>
      <c r="I439" s="144"/>
    </row>
    <row r="440" spans="1:9" ht="14" x14ac:dyDescent="0.15">
      <c r="A440" s="144"/>
      <c r="B440" s="144"/>
      <c r="C440" s="145"/>
      <c r="D440" s="145"/>
      <c r="E440" s="154"/>
      <c r="F440" s="155"/>
      <c r="G440" s="144"/>
      <c r="H440" s="144"/>
      <c r="I440" s="144"/>
    </row>
    <row r="441" spans="1:9" ht="14" x14ac:dyDescent="0.15">
      <c r="A441" s="144"/>
      <c r="B441" s="144"/>
      <c r="C441" s="145"/>
      <c r="D441" s="145"/>
      <c r="E441" s="154"/>
      <c r="F441" s="155"/>
      <c r="G441" s="144"/>
      <c r="H441" s="144"/>
      <c r="I441" s="144"/>
    </row>
    <row r="442" spans="1:9" ht="14" x14ac:dyDescent="0.15">
      <c r="A442" s="144"/>
      <c r="B442" s="144"/>
      <c r="C442" s="145"/>
      <c r="D442" s="145"/>
      <c r="E442" s="154"/>
      <c r="F442" s="155"/>
      <c r="G442" s="144"/>
      <c r="H442" s="144"/>
      <c r="I442" s="144"/>
    </row>
    <row r="443" spans="1:9" ht="14" x14ac:dyDescent="0.15">
      <c r="A443" s="144"/>
      <c r="B443" s="144"/>
      <c r="C443" s="145"/>
      <c r="D443" s="145"/>
      <c r="E443" s="154"/>
      <c r="F443" s="155"/>
      <c r="G443" s="144"/>
      <c r="H443" s="144"/>
      <c r="I443" s="144"/>
    </row>
    <row r="444" spans="1:9" ht="14" x14ac:dyDescent="0.15">
      <c r="A444" s="144"/>
      <c r="B444" s="144"/>
      <c r="C444" s="145"/>
      <c r="D444" s="145"/>
      <c r="E444" s="154"/>
      <c r="F444" s="155"/>
      <c r="G444" s="144"/>
      <c r="H444" s="144"/>
      <c r="I444" s="144"/>
    </row>
    <row r="445" spans="1:9" ht="14" x14ac:dyDescent="0.15">
      <c r="A445" s="144"/>
      <c r="B445" s="144"/>
      <c r="C445" s="145"/>
      <c r="D445" s="145"/>
      <c r="E445" s="154"/>
      <c r="F445" s="155"/>
      <c r="G445" s="144"/>
      <c r="H445" s="144"/>
      <c r="I445" s="144"/>
    </row>
    <row r="446" spans="1:9" ht="14" x14ac:dyDescent="0.15">
      <c r="A446" s="144"/>
      <c r="B446" s="144"/>
      <c r="C446" s="145"/>
      <c r="D446" s="145"/>
      <c r="E446" s="154"/>
      <c r="F446" s="155"/>
      <c r="G446" s="144"/>
      <c r="H446" s="144"/>
      <c r="I446" s="144"/>
    </row>
    <row r="447" spans="1:9" ht="14" x14ac:dyDescent="0.15">
      <c r="A447" s="144"/>
      <c r="B447" s="144"/>
      <c r="C447" s="145"/>
      <c r="D447" s="145"/>
      <c r="E447" s="154"/>
      <c r="F447" s="155"/>
      <c r="G447" s="144"/>
      <c r="H447" s="144"/>
      <c r="I447" s="144"/>
    </row>
    <row r="448" spans="1:9" ht="14" x14ac:dyDescent="0.15">
      <c r="A448" s="144"/>
      <c r="B448" s="144"/>
      <c r="C448" s="145"/>
      <c r="D448" s="145"/>
      <c r="E448" s="154"/>
      <c r="F448" s="155"/>
      <c r="G448" s="144"/>
      <c r="H448" s="144"/>
      <c r="I448" s="144"/>
    </row>
    <row r="449" spans="1:9" ht="14" x14ac:dyDescent="0.15">
      <c r="A449" s="144"/>
      <c r="B449" s="144"/>
      <c r="C449" s="145"/>
      <c r="D449" s="145"/>
      <c r="E449" s="154"/>
      <c r="F449" s="155"/>
      <c r="G449" s="144"/>
      <c r="H449" s="144"/>
      <c r="I449" s="144"/>
    </row>
    <row r="450" spans="1:9" ht="14" x14ac:dyDescent="0.15">
      <c r="A450" s="144"/>
      <c r="B450" s="144"/>
      <c r="C450" s="145"/>
      <c r="D450" s="145"/>
      <c r="E450" s="154"/>
      <c r="F450" s="155"/>
      <c r="G450" s="144"/>
      <c r="H450" s="144"/>
      <c r="I450" s="144"/>
    </row>
    <row r="451" spans="1:9" ht="14" x14ac:dyDescent="0.15">
      <c r="A451" s="144"/>
      <c r="B451" s="144"/>
      <c r="C451" s="145"/>
      <c r="D451" s="145"/>
      <c r="E451" s="154"/>
      <c r="F451" s="155"/>
      <c r="G451" s="144"/>
      <c r="H451" s="144"/>
      <c r="I451" s="144"/>
    </row>
    <row r="452" spans="1:9" ht="14" x14ac:dyDescent="0.15">
      <c r="A452" s="144"/>
      <c r="B452" s="144"/>
      <c r="C452" s="145"/>
      <c r="D452" s="145"/>
      <c r="E452" s="154"/>
      <c r="F452" s="155"/>
      <c r="G452" s="144"/>
      <c r="H452" s="144"/>
      <c r="I452" s="144"/>
    </row>
    <row r="453" spans="1:9" ht="14" x14ac:dyDescent="0.15">
      <c r="A453" s="144"/>
      <c r="B453" s="144"/>
      <c r="C453" s="145"/>
      <c r="D453" s="145"/>
      <c r="E453" s="154"/>
      <c r="F453" s="155"/>
      <c r="G453" s="144"/>
      <c r="H453" s="144"/>
      <c r="I453" s="144"/>
    </row>
    <row r="454" spans="1:9" ht="14" x14ac:dyDescent="0.15">
      <c r="A454" s="144"/>
      <c r="B454" s="144"/>
      <c r="C454" s="145"/>
      <c r="D454" s="145"/>
      <c r="E454" s="154"/>
      <c r="F454" s="155"/>
      <c r="G454" s="144"/>
      <c r="H454" s="144"/>
      <c r="I454" s="144"/>
    </row>
    <row r="455" spans="1:9" ht="14" x14ac:dyDescent="0.15">
      <c r="A455" s="144"/>
      <c r="B455" s="144"/>
      <c r="C455" s="145"/>
      <c r="D455" s="145"/>
      <c r="E455" s="154"/>
      <c r="F455" s="155"/>
      <c r="G455" s="144"/>
      <c r="H455" s="144"/>
      <c r="I455" s="144"/>
    </row>
    <row r="456" spans="1:9" ht="14" x14ac:dyDescent="0.15">
      <c r="A456" s="144"/>
      <c r="B456" s="144"/>
      <c r="C456" s="145"/>
      <c r="D456" s="145"/>
      <c r="E456" s="154"/>
      <c r="F456" s="155"/>
      <c r="G456" s="144"/>
      <c r="H456" s="144"/>
      <c r="I456" s="144"/>
    </row>
    <row r="457" spans="1:9" ht="14" x14ac:dyDescent="0.15">
      <c r="A457" s="144"/>
      <c r="B457" s="144"/>
      <c r="C457" s="145"/>
      <c r="D457" s="145"/>
      <c r="E457" s="154"/>
      <c r="F457" s="155"/>
      <c r="G457" s="144"/>
      <c r="H457" s="144"/>
      <c r="I457" s="144"/>
    </row>
    <row r="458" spans="1:9" ht="14" x14ac:dyDescent="0.15">
      <c r="A458" s="144"/>
      <c r="B458" s="144"/>
      <c r="C458" s="145"/>
      <c r="D458" s="145"/>
      <c r="E458" s="154"/>
      <c r="F458" s="155"/>
      <c r="G458" s="144"/>
      <c r="H458" s="144"/>
      <c r="I458" s="144"/>
    </row>
    <row r="459" spans="1:9" ht="14" x14ac:dyDescent="0.15">
      <c r="A459" s="144"/>
      <c r="B459" s="144"/>
      <c r="C459" s="145"/>
      <c r="D459" s="145"/>
      <c r="E459" s="154"/>
      <c r="F459" s="155"/>
      <c r="G459" s="144"/>
      <c r="H459" s="144"/>
      <c r="I459" s="144"/>
    </row>
    <row r="460" spans="1:9" ht="14" x14ac:dyDescent="0.15">
      <c r="A460" s="144"/>
      <c r="B460" s="144"/>
      <c r="C460" s="145"/>
      <c r="D460" s="145"/>
      <c r="E460" s="154"/>
      <c r="F460" s="155"/>
      <c r="G460" s="144"/>
      <c r="H460" s="144"/>
      <c r="I460" s="144"/>
    </row>
    <row r="461" spans="1:9" ht="14" x14ac:dyDescent="0.15">
      <c r="A461" s="144"/>
      <c r="B461" s="144"/>
      <c r="C461" s="145"/>
      <c r="D461" s="145"/>
      <c r="E461" s="154"/>
      <c r="F461" s="155"/>
      <c r="G461" s="144"/>
      <c r="H461" s="144"/>
      <c r="I461" s="144"/>
    </row>
    <row r="462" spans="1:9" ht="14" x14ac:dyDescent="0.15">
      <c r="A462" s="144"/>
      <c r="B462" s="144"/>
      <c r="C462" s="145"/>
      <c r="D462" s="145"/>
      <c r="E462" s="154"/>
      <c r="F462" s="155"/>
      <c r="G462" s="144"/>
      <c r="H462" s="144"/>
      <c r="I462" s="144"/>
    </row>
    <row r="463" spans="1:9" ht="14" x14ac:dyDescent="0.15">
      <c r="A463" s="144"/>
      <c r="B463" s="144"/>
      <c r="C463" s="145"/>
      <c r="D463" s="145"/>
      <c r="E463" s="154"/>
      <c r="F463" s="155"/>
      <c r="G463" s="144"/>
      <c r="H463" s="144"/>
      <c r="I463" s="144"/>
    </row>
    <row r="464" spans="1:9" ht="14" x14ac:dyDescent="0.15">
      <c r="A464" s="144"/>
      <c r="B464" s="144"/>
      <c r="C464" s="145"/>
      <c r="D464" s="145"/>
      <c r="E464" s="154"/>
      <c r="F464" s="155"/>
      <c r="G464" s="144"/>
      <c r="H464" s="144"/>
      <c r="I464" s="144"/>
    </row>
    <row r="465" spans="1:9" ht="14" x14ac:dyDescent="0.15">
      <c r="A465" s="144"/>
      <c r="B465" s="144"/>
      <c r="C465" s="145"/>
      <c r="D465" s="145"/>
      <c r="E465" s="154"/>
      <c r="F465" s="155"/>
      <c r="G465" s="144"/>
      <c r="H465" s="144"/>
      <c r="I465" s="144"/>
    </row>
    <row r="466" spans="1:9" ht="14" x14ac:dyDescent="0.15">
      <c r="A466" s="144"/>
      <c r="B466" s="144"/>
      <c r="C466" s="145"/>
      <c r="D466" s="145"/>
      <c r="E466" s="154"/>
      <c r="F466" s="155"/>
      <c r="G466" s="144"/>
      <c r="H466" s="144"/>
      <c r="I466" s="144"/>
    </row>
    <row r="467" spans="1:9" ht="14" x14ac:dyDescent="0.15">
      <c r="A467" s="144"/>
      <c r="B467" s="144"/>
      <c r="C467" s="145"/>
      <c r="D467" s="145"/>
      <c r="E467" s="154"/>
      <c r="F467" s="155"/>
      <c r="G467" s="144"/>
      <c r="H467" s="144"/>
      <c r="I467" s="144"/>
    </row>
    <row r="468" spans="1:9" ht="14" x14ac:dyDescent="0.15">
      <c r="A468" s="144"/>
      <c r="B468" s="144"/>
      <c r="C468" s="145"/>
      <c r="D468" s="145"/>
      <c r="E468" s="154"/>
      <c r="F468" s="155"/>
      <c r="G468" s="144"/>
      <c r="H468" s="144"/>
      <c r="I468" s="144"/>
    </row>
    <row r="469" spans="1:9" ht="14" x14ac:dyDescent="0.15">
      <c r="A469" s="144"/>
      <c r="B469" s="144"/>
      <c r="C469" s="145"/>
      <c r="D469" s="145"/>
      <c r="E469" s="154"/>
      <c r="F469" s="155"/>
      <c r="G469" s="144"/>
      <c r="H469" s="144"/>
      <c r="I469" s="144"/>
    </row>
    <row r="470" spans="1:9" ht="14" x14ac:dyDescent="0.15">
      <c r="A470" s="144"/>
      <c r="B470" s="144"/>
      <c r="C470" s="145"/>
      <c r="D470" s="145"/>
      <c r="E470" s="154"/>
      <c r="F470" s="155"/>
      <c r="G470" s="144"/>
      <c r="H470" s="144"/>
      <c r="I470" s="144"/>
    </row>
    <row r="471" spans="1:9" ht="14" x14ac:dyDescent="0.15">
      <c r="A471" s="144"/>
      <c r="B471" s="144"/>
      <c r="C471" s="145"/>
      <c r="D471" s="145"/>
      <c r="E471" s="154"/>
      <c r="F471" s="155"/>
      <c r="G471" s="144"/>
      <c r="H471" s="144"/>
      <c r="I471" s="144"/>
    </row>
    <row r="472" spans="1:9" ht="14" x14ac:dyDescent="0.15">
      <c r="A472" s="144"/>
      <c r="B472" s="144"/>
      <c r="C472" s="145"/>
      <c r="D472" s="145"/>
      <c r="E472" s="154"/>
      <c r="F472" s="155"/>
      <c r="G472" s="144"/>
      <c r="H472" s="144"/>
      <c r="I472" s="144"/>
    </row>
    <row r="473" spans="1:9" ht="14" x14ac:dyDescent="0.15">
      <c r="A473" s="144"/>
      <c r="B473" s="144"/>
      <c r="C473" s="145"/>
      <c r="D473" s="145"/>
      <c r="E473" s="154"/>
      <c r="F473" s="155"/>
      <c r="G473" s="144"/>
      <c r="H473" s="144"/>
      <c r="I473" s="144"/>
    </row>
    <row r="474" spans="1:9" ht="14" x14ac:dyDescent="0.15">
      <c r="A474" s="144"/>
      <c r="B474" s="144"/>
      <c r="C474" s="145"/>
      <c r="D474" s="145"/>
      <c r="E474" s="154"/>
      <c r="F474" s="155"/>
      <c r="G474" s="144"/>
      <c r="H474" s="144"/>
      <c r="I474" s="144"/>
    </row>
    <row r="475" spans="1:9" ht="14" x14ac:dyDescent="0.15">
      <c r="A475" s="144"/>
      <c r="B475" s="144"/>
      <c r="C475" s="145"/>
      <c r="D475" s="145"/>
      <c r="E475" s="154"/>
      <c r="F475" s="155"/>
      <c r="G475" s="144"/>
      <c r="H475" s="144"/>
      <c r="I475" s="144"/>
    </row>
    <row r="476" spans="1:9" ht="14" x14ac:dyDescent="0.15">
      <c r="A476" s="144"/>
      <c r="B476" s="144"/>
      <c r="C476" s="145"/>
      <c r="D476" s="145"/>
      <c r="E476" s="154"/>
      <c r="F476" s="155"/>
      <c r="G476" s="144"/>
      <c r="H476" s="144"/>
      <c r="I476" s="144"/>
    </row>
    <row r="477" spans="1:9" ht="14" x14ac:dyDescent="0.15">
      <c r="A477" s="144"/>
      <c r="B477" s="144"/>
      <c r="C477" s="145"/>
      <c r="D477" s="145"/>
      <c r="E477" s="154"/>
      <c r="F477" s="155"/>
      <c r="G477" s="144"/>
      <c r="H477" s="144"/>
      <c r="I477" s="144"/>
    </row>
    <row r="478" spans="1:9" ht="14" x14ac:dyDescent="0.15">
      <c r="A478" s="144"/>
      <c r="B478" s="144"/>
      <c r="C478" s="145"/>
      <c r="D478" s="145"/>
      <c r="E478" s="154"/>
      <c r="F478" s="155"/>
      <c r="G478" s="144"/>
      <c r="H478" s="144"/>
      <c r="I478" s="144"/>
    </row>
    <row r="479" spans="1:9" ht="14" x14ac:dyDescent="0.15">
      <c r="A479" s="144"/>
      <c r="B479" s="144"/>
      <c r="C479" s="145"/>
      <c r="D479" s="145"/>
      <c r="E479" s="154"/>
      <c r="F479" s="155"/>
      <c r="G479" s="144"/>
      <c r="H479" s="144"/>
      <c r="I479" s="144"/>
    </row>
    <row r="480" spans="1:9" ht="14" x14ac:dyDescent="0.15">
      <c r="A480" s="144"/>
      <c r="B480" s="144"/>
      <c r="C480" s="145"/>
      <c r="D480" s="145"/>
      <c r="E480" s="154"/>
      <c r="F480" s="155"/>
      <c r="G480" s="144"/>
      <c r="H480" s="144"/>
      <c r="I480" s="144"/>
    </row>
    <row r="481" spans="1:9" ht="14" x14ac:dyDescent="0.15">
      <c r="A481" s="144"/>
      <c r="B481" s="144"/>
      <c r="C481" s="145"/>
      <c r="D481" s="145"/>
      <c r="E481" s="154"/>
      <c r="F481" s="155"/>
      <c r="G481" s="144"/>
      <c r="H481" s="144"/>
      <c r="I481" s="144"/>
    </row>
    <row r="482" spans="1:9" ht="14" x14ac:dyDescent="0.15">
      <c r="A482" s="144"/>
      <c r="B482" s="144"/>
      <c r="C482" s="145"/>
      <c r="D482" s="145"/>
      <c r="E482" s="154"/>
      <c r="F482" s="155"/>
      <c r="G482" s="144"/>
      <c r="H482" s="144"/>
      <c r="I482" s="144"/>
    </row>
    <row r="483" spans="1:9" ht="14" x14ac:dyDescent="0.15">
      <c r="A483" s="144"/>
      <c r="B483" s="144"/>
      <c r="C483" s="145"/>
      <c r="D483" s="145"/>
      <c r="E483" s="154"/>
      <c r="F483" s="155"/>
      <c r="G483" s="144"/>
      <c r="H483" s="144"/>
      <c r="I483" s="144"/>
    </row>
    <row r="484" spans="1:9" ht="14" x14ac:dyDescent="0.15">
      <c r="A484" s="144"/>
      <c r="B484" s="144"/>
      <c r="C484" s="145"/>
      <c r="D484" s="145"/>
      <c r="E484" s="154"/>
      <c r="F484" s="155"/>
      <c r="G484" s="144"/>
      <c r="H484" s="144"/>
      <c r="I484" s="144"/>
    </row>
    <row r="485" spans="1:9" ht="14" x14ac:dyDescent="0.15">
      <c r="A485" s="144"/>
      <c r="B485" s="144"/>
      <c r="C485" s="145"/>
      <c r="D485" s="145"/>
      <c r="E485" s="154"/>
      <c r="F485" s="155"/>
      <c r="G485" s="144"/>
      <c r="H485" s="144"/>
      <c r="I485" s="144"/>
    </row>
    <row r="486" spans="1:9" ht="14" x14ac:dyDescent="0.15">
      <c r="A486" s="144"/>
      <c r="B486" s="144"/>
      <c r="C486" s="145"/>
      <c r="D486" s="145"/>
      <c r="E486" s="154"/>
      <c r="F486" s="155"/>
      <c r="G486" s="144"/>
      <c r="H486" s="144"/>
      <c r="I486" s="144"/>
    </row>
    <row r="487" spans="1:9" ht="14" x14ac:dyDescent="0.15">
      <c r="A487" s="144"/>
      <c r="B487" s="144"/>
      <c r="C487" s="145"/>
      <c r="D487" s="145"/>
      <c r="E487" s="154"/>
      <c r="F487" s="155"/>
      <c r="G487" s="144"/>
      <c r="H487" s="144"/>
      <c r="I487" s="144"/>
    </row>
    <row r="488" spans="1:9" ht="14" x14ac:dyDescent="0.15">
      <c r="A488" s="144"/>
      <c r="B488" s="144"/>
      <c r="C488" s="145"/>
      <c r="D488" s="145"/>
      <c r="E488" s="154"/>
      <c r="F488" s="155"/>
      <c r="G488" s="144"/>
      <c r="H488" s="144"/>
      <c r="I488" s="144"/>
    </row>
    <row r="489" spans="1:9" ht="14" x14ac:dyDescent="0.15">
      <c r="A489" s="144"/>
      <c r="B489" s="144"/>
      <c r="C489" s="145"/>
      <c r="D489" s="145"/>
      <c r="E489" s="154"/>
      <c r="F489" s="155"/>
      <c r="G489" s="144"/>
      <c r="H489" s="144"/>
      <c r="I489" s="144"/>
    </row>
    <row r="490" spans="1:9" ht="14" x14ac:dyDescent="0.15">
      <c r="A490" s="144"/>
      <c r="B490" s="144"/>
      <c r="C490" s="145"/>
      <c r="D490" s="145"/>
      <c r="E490" s="154"/>
      <c r="F490" s="155"/>
      <c r="G490" s="144"/>
      <c r="H490" s="144"/>
      <c r="I490" s="144"/>
    </row>
    <row r="491" spans="1:9" ht="14" x14ac:dyDescent="0.15">
      <c r="A491" s="144"/>
      <c r="B491" s="144"/>
      <c r="C491" s="145"/>
      <c r="D491" s="145"/>
      <c r="E491" s="154"/>
      <c r="F491" s="155"/>
      <c r="G491" s="144"/>
      <c r="H491" s="144"/>
      <c r="I491" s="144"/>
    </row>
    <row r="492" spans="1:9" ht="14" x14ac:dyDescent="0.15">
      <c r="A492" s="144"/>
      <c r="B492" s="144"/>
      <c r="C492" s="145"/>
      <c r="D492" s="145"/>
      <c r="E492" s="154"/>
      <c r="F492" s="155"/>
      <c r="G492" s="144"/>
      <c r="H492" s="144"/>
      <c r="I492" s="144"/>
    </row>
    <row r="493" spans="1:9" ht="14" x14ac:dyDescent="0.15">
      <c r="A493" s="144"/>
      <c r="B493" s="144"/>
      <c r="C493" s="145"/>
      <c r="D493" s="145"/>
      <c r="E493" s="154"/>
      <c r="F493" s="155"/>
      <c r="G493" s="144"/>
      <c r="H493" s="144"/>
      <c r="I493" s="144"/>
    </row>
    <row r="494" spans="1:9" ht="14" x14ac:dyDescent="0.15">
      <c r="A494" s="144"/>
      <c r="B494" s="144"/>
      <c r="C494" s="145"/>
      <c r="D494" s="145"/>
      <c r="E494" s="154"/>
      <c r="F494" s="155"/>
      <c r="G494" s="144"/>
      <c r="H494" s="144"/>
      <c r="I494" s="144"/>
    </row>
    <row r="495" spans="1:9" ht="14" x14ac:dyDescent="0.15">
      <c r="A495" s="144"/>
      <c r="B495" s="144"/>
      <c r="C495" s="145"/>
      <c r="D495" s="145"/>
      <c r="E495" s="154"/>
      <c r="F495" s="155"/>
      <c r="G495" s="144"/>
      <c r="H495" s="144"/>
      <c r="I495" s="144"/>
    </row>
    <row r="496" spans="1:9" ht="14" x14ac:dyDescent="0.15">
      <c r="A496" s="144"/>
      <c r="B496" s="144"/>
      <c r="C496" s="145"/>
      <c r="D496" s="145"/>
      <c r="E496" s="154"/>
      <c r="F496" s="155"/>
      <c r="G496" s="144"/>
      <c r="H496" s="144"/>
      <c r="I496" s="144"/>
    </row>
    <row r="497" spans="1:9" ht="14" x14ac:dyDescent="0.15">
      <c r="A497" s="144"/>
      <c r="B497" s="144"/>
      <c r="C497" s="145"/>
      <c r="D497" s="145"/>
      <c r="E497" s="154"/>
      <c r="F497" s="155"/>
      <c r="G497" s="144"/>
      <c r="H497" s="144"/>
      <c r="I497" s="144"/>
    </row>
    <row r="498" spans="1:9" ht="14" x14ac:dyDescent="0.15">
      <c r="A498" s="144"/>
      <c r="B498" s="144"/>
      <c r="C498" s="145"/>
      <c r="D498" s="145"/>
      <c r="E498" s="154"/>
      <c r="F498" s="155"/>
      <c r="G498" s="144"/>
      <c r="H498" s="144"/>
      <c r="I498" s="144"/>
    </row>
    <row r="499" spans="1:9" ht="14" x14ac:dyDescent="0.15">
      <c r="A499" s="144"/>
      <c r="B499" s="144"/>
      <c r="C499" s="145"/>
      <c r="D499" s="145"/>
      <c r="E499" s="154"/>
      <c r="F499" s="155"/>
      <c r="G499" s="144"/>
      <c r="H499" s="144"/>
      <c r="I499" s="144"/>
    </row>
    <row r="500" spans="1:9" ht="14" x14ac:dyDescent="0.15">
      <c r="A500" s="144"/>
      <c r="B500" s="144"/>
      <c r="C500" s="145"/>
      <c r="D500" s="145"/>
      <c r="E500" s="154"/>
      <c r="F500" s="155"/>
      <c r="G500" s="144"/>
      <c r="H500" s="144"/>
      <c r="I500" s="144"/>
    </row>
    <row r="501" spans="1:9" ht="14" x14ac:dyDescent="0.15">
      <c r="A501" s="144"/>
      <c r="B501" s="144"/>
      <c r="C501" s="145"/>
      <c r="D501" s="145"/>
      <c r="E501" s="154"/>
      <c r="F501" s="155"/>
      <c r="G501" s="144"/>
      <c r="H501" s="144"/>
      <c r="I501" s="144"/>
    </row>
    <row r="502" spans="1:9" ht="14" x14ac:dyDescent="0.15">
      <c r="A502" s="144"/>
      <c r="B502" s="144"/>
      <c r="C502" s="145"/>
      <c r="D502" s="145"/>
      <c r="E502" s="154"/>
      <c r="F502" s="155"/>
      <c r="G502" s="144"/>
      <c r="H502" s="144"/>
      <c r="I502" s="144"/>
    </row>
    <row r="503" spans="1:9" ht="14" x14ac:dyDescent="0.15">
      <c r="A503" s="144"/>
      <c r="B503" s="144"/>
      <c r="C503" s="145"/>
      <c r="D503" s="145"/>
      <c r="E503" s="154"/>
      <c r="F503" s="155"/>
      <c r="G503" s="144"/>
      <c r="H503" s="144"/>
      <c r="I503" s="144"/>
    </row>
    <row r="504" spans="1:9" ht="14" x14ac:dyDescent="0.15">
      <c r="A504" s="144"/>
      <c r="B504" s="144"/>
      <c r="C504" s="145"/>
      <c r="D504" s="145"/>
      <c r="E504" s="154"/>
      <c r="F504" s="155"/>
      <c r="G504" s="144"/>
      <c r="H504" s="144"/>
      <c r="I504" s="144"/>
    </row>
    <row r="505" spans="1:9" ht="14" x14ac:dyDescent="0.15">
      <c r="A505" s="144"/>
      <c r="B505" s="144"/>
      <c r="C505" s="145"/>
      <c r="D505" s="145"/>
      <c r="E505" s="154"/>
      <c r="F505" s="155"/>
      <c r="G505" s="144"/>
      <c r="H505" s="144"/>
      <c r="I505" s="144"/>
    </row>
    <row r="506" spans="1:9" ht="14" x14ac:dyDescent="0.15">
      <c r="A506" s="144"/>
      <c r="B506" s="144"/>
      <c r="C506" s="145"/>
      <c r="D506" s="145"/>
      <c r="E506" s="154"/>
      <c r="F506" s="155"/>
      <c r="G506" s="144"/>
      <c r="H506" s="144"/>
      <c r="I506" s="144"/>
    </row>
    <row r="507" spans="1:9" ht="14" x14ac:dyDescent="0.15">
      <c r="A507" s="144"/>
      <c r="B507" s="144"/>
      <c r="C507" s="145"/>
      <c r="D507" s="145"/>
      <c r="E507" s="154"/>
      <c r="F507" s="155"/>
      <c r="G507" s="144"/>
      <c r="H507" s="144"/>
      <c r="I507" s="144"/>
    </row>
    <row r="508" spans="1:9" ht="14" x14ac:dyDescent="0.15">
      <c r="A508" s="144"/>
      <c r="B508" s="144"/>
      <c r="C508" s="145"/>
      <c r="D508" s="145"/>
      <c r="E508" s="154"/>
      <c r="F508" s="155"/>
      <c r="G508" s="144"/>
      <c r="H508" s="144"/>
      <c r="I508" s="144"/>
    </row>
    <row r="509" spans="1:9" ht="14" x14ac:dyDescent="0.15">
      <c r="A509" s="144"/>
      <c r="B509" s="144"/>
      <c r="C509" s="145"/>
      <c r="D509" s="145"/>
      <c r="E509" s="154"/>
      <c r="F509" s="155"/>
      <c r="G509" s="144"/>
      <c r="H509" s="144"/>
      <c r="I509" s="144"/>
    </row>
    <row r="510" spans="1:9" ht="14" x14ac:dyDescent="0.15">
      <c r="A510" s="144"/>
      <c r="B510" s="144"/>
      <c r="C510" s="145"/>
      <c r="D510" s="145"/>
      <c r="E510" s="154"/>
      <c r="F510" s="155"/>
      <c r="G510" s="144"/>
      <c r="H510" s="144"/>
      <c r="I510" s="144"/>
    </row>
    <row r="511" spans="1:9" ht="14" x14ac:dyDescent="0.15">
      <c r="A511" s="144"/>
      <c r="B511" s="144"/>
      <c r="C511" s="145"/>
      <c r="D511" s="145"/>
      <c r="E511" s="154"/>
      <c r="F511" s="155"/>
      <c r="G511" s="144"/>
      <c r="H511" s="144"/>
      <c r="I511" s="144"/>
    </row>
    <row r="512" spans="1:9" ht="14" x14ac:dyDescent="0.15">
      <c r="A512" s="144"/>
      <c r="B512" s="144"/>
      <c r="C512" s="145"/>
      <c r="D512" s="145"/>
      <c r="E512" s="154"/>
      <c r="F512" s="155"/>
      <c r="G512" s="144"/>
      <c r="H512" s="144"/>
      <c r="I512" s="144"/>
    </row>
    <row r="513" spans="1:9" ht="14" x14ac:dyDescent="0.15">
      <c r="A513" s="144"/>
      <c r="B513" s="144"/>
      <c r="C513" s="145"/>
      <c r="D513" s="145"/>
      <c r="E513" s="154"/>
      <c r="F513" s="155"/>
      <c r="G513" s="144"/>
      <c r="H513" s="144"/>
      <c r="I513" s="144"/>
    </row>
    <row r="514" spans="1:9" ht="14" x14ac:dyDescent="0.15">
      <c r="A514" s="144"/>
      <c r="B514" s="144"/>
      <c r="C514" s="145"/>
      <c r="D514" s="145"/>
      <c r="E514" s="154"/>
      <c r="F514" s="155"/>
      <c r="G514" s="144"/>
      <c r="H514" s="144"/>
      <c r="I514" s="144"/>
    </row>
    <row r="515" spans="1:9" ht="14" x14ac:dyDescent="0.15">
      <c r="A515" s="144"/>
      <c r="B515" s="144"/>
      <c r="C515" s="145"/>
      <c r="D515" s="145"/>
      <c r="E515" s="154"/>
      <c r="F515" s="155"/>
      <c r="G515" s="144"/>
      <c r="H515" s="144"/>
      <c r="I515" s="144"/>
    </row>
    <row r="516" spans="1:9" ht="14" x14ac:dyDescent="0.15">
      <c r="A516" s="144"/>
      <c r="B516" s="144"/>
      <c r="C516" s="145"/>
      <c r="D516" s="145"/>
      <c r="E516" s="154"/>
      <c r="F516" s="155"/>
      <c r="G516" s="144"/>
      <c r="H516" s="144"/>
      <c r="I516" s="144"/>
    </row>
    <row r="517" spans="1:9" ht="14" x14ac:dyDescent="0.15">
      <c r="A517" s="144"/>
      <c r="B517" s="144"/>
      <c r="C517" s="145"/>
      <c r="D517" s="145"/>
      <c r="E517" s="154"/>
      <c r="F517" s="155"/>
      <c r="G517" s="144"/>
      <c r="H517" s="144"/>
      <c r="I517" s="144"/>
    </row>
    <row r="518" spans="1:9" ht="14" x14ac:dyDescent="0.15">
      <c r="A518" s="144"/>
      <c r="B518" s="144"/>
      <c r="C518" s="145"/>
      <c r="D518" s="145"/>
      <c r="E518" s="154"/>
      <c r="F518" s="155"/>
      <c r="G518" s="144"/>
      <c r="H518" s="144"/>
      <c r="I518" s="144"/>
    </row>
    <row r="519" spans="1:9" ht="14" x14ac:dyDescent="0.15">
      <c r="A519" s="144"/>
      <c r="B519" s="144"/>
      <c r="C519" s="145"/>
      <c r="D519" s="145"/>
      <c r="E519" s="154"/>
      <c r="F519" s="155"/>
      <c r="G519" s="144"/>
      <c r="H519" s="144"/>
      <c r="I519" s="144"/>
    </row>
    <row r="520" spans="1:9" ht="14" x14ac:dyDescent="0.15">
      <c r="A520" s="144"/>
      <c r="B520" s="144"/>
      <c r="C520" s="145"/>
      <c r="D520" s="145"/>
      <c r="E520" s="154"/>
      <c r="F520" s="155"/>
      <c r="G520" s="144"/>
      <c r="H520" s="144"/>
      <c r="I520" s="144"/>
    </row>
    <row r="521" spans="1:9" ht="14" x14ac:dyDescent="0.15">
      <c r="A521" s="144"/>
      <c r="B521" s="144"/>
      <c r="C521" s="145"/>
      <c r="D521" s="145"/>
      <c r="E521" s="154"/>
      <c r="F521" s="155"/>
      <c r="G521" s="144"/>
      <c r="H521" s="144"/>
      <c r="I521" s="144"/>
    </row>
    <row r="522" spans="1:9" ht="14" x14ac:dyDescent="0.15">
      <c r="A522" s="144"/>
      <c r="B522" s="144"/>
      <c r="C522" s="145"/>
      <c r="D522" s="145"/>
      <c r="E522" s="154"/>
      <c r="F522" s="155"/>
      <c r="G522" s="144"/>
      <c r="H522" s="144"/>
      <c r="I522" s="144"/>
    </row>
    <row r="523" spans="1:9" ht="14" x14ac:dyDescent="0.15">
      <c r="A523" s="144"/>
      <c r="B523" s="144"/>
      <c r="C523" s="145"/>
      <c r="D523" s="145"/>
      <c r="E523" s="154"/>
      <c r="F523" s="155"/>
      <c r="G523" s="144"/>
      <c r="H523" s="144"/>
      <c r="I523" s="144"/>
    </row>
    <row r="524" spans="1:9" ht="14" x14ac:dyDescent="0.15">
      <c r="A524" s="144"/>
      <c r="B524" s="144"/>
      <c r="C524" s="145"/>
      <c r="D524" s="145"/>
      <c r="E524" s="154"/>
      <c r="F524" s="155"/>
      <c r="G524" s="144"/>
      <c r="H524" s="144"/>
      <c r="I524" s="144"/>
    </row>
    <row r="525" spans="1:9" ht="14" x14ac:dyDescent="0.15">
      <c r="A525" s="144"/>
      <c r="B525" s="144"/>
      <c r="C525" s="145"/>
      <c r="D525" s="145"/>
      <c r="E525" s="154"/>
      <c r="F525" s="155"/>
      <c r="G525" s="144"/>
      <c r="H525" s="144"/>
      <c r="I525" s="144"/>
    </row>
    <row r="526" spans="1:9" ht="14" x14ac:dyDescent="0.15">
      <c r="A526" s="144"/>
      <c r="B526" s="144"/>
      <c r="C526" s="145"/>
      <c r="D526" s="145"/>
      <c r="E526" s="154"/>
      <c r="F526" s="155"/>
      <c r="G526" s="144"/>
      <c r="H526" s="144"/>
      <c r="I526" s="144"/>
    </row>
    <row r="527" spans="1:9" ht="14" x14ac:dyDescent="0.15">
      <c r="A527" s="144"/>
      <c r="B527" s="144"/>
      <c r="C527" s="145"/>
      <c r="D527" s="145"/>
      <c r="E527" s="154"/>
      <c r="F527" s="155"/>
      <c r="G527" s="144"/>
      <c r="H527" s="144"/>
      <c r="I527" s="144"/>
    </row>
    <row r="528" spans="1:9" ht="14" x14ac:dyDescent="0.15">
      <c r="A528" s="144"/>
      <c r="B528" s="144"/>
      <c r="C528" s="145"/>
      <c r="D528" s="145"/>
      <c r="E528" s="154"/>
      <c r="F528" s="155"/>
      <c r="G528" s="144"/>
      <c r="H528" s="144"/>
      <c r="I528" s="144"/>
    </row>
    <row r="529" spans="1:9" ht="14" x14ac:dyDescent="0.15">
      <c r="A529" s="144"/>
      <c r="B529" s="144"/>
      <c r="C529" s="145"/>
      <c r="D529" s="145"/>
      <c r="E529" s="154"/>
      <c r="F529" s="155"/>
      <c r="G529" s="144"/>
      <c r="H529" s="144"/>
      <c r="I529" s="144"/>
    </row>
    <row r="530" spans="1:9" ht="14" x14ac:dyDescent="0.15">
      <c r="A530" s="144"/>
      <c r="B530" s="144"/>
      <c r="C530" s="145"/>
      <c r="D530" s="145"/>
      <c r="E530" s="154"/>
      <c r="F530" s="155"/>
      <c r="G530" s="144"/>
      <c r="H530" s="144"/>
      <c r="I530" s="144"/>
    </row>
    <row r="531" spans="1:9" ht="14" x14ac:dyDescent="0.15">
      <c r="A531" s="144"/>
      <c r="B531" s="144"/>
      <c r="C531" s="145"/>
      <c r="D531" s="145"/>
      <c r="E531" s="154"/>
      <c r="F531" s="155"/>
      <c r="G531" s="144"/>
      <c r="H531" s="144"/>
      <c r="I531" s="144"/>
    </row>
    <row r="532" spans="1:9" ht="14" x14ac:dyDescent="0.15">
      <c r="A532" s="144"/>
      <c r="B532" s="144"/>
      <c r="C532" s="145"/>
      <c r="D532" s="145"/>
      <c r="E532" s="154"/>
      <c r="F532" s="155"/>
      <c r="G532" s="144"/>
      <c r="H532" s="144"/>
      <c r="I532" s="144"/>
    </row>
    <row r="533" spans="1:9" ht="14" x14ac:dyDescent="0.15">
      <c r="A533" s="144"/>
      <c r="B533" s="144"/>
      <c r="C533" s="145"/>
      <c r="D533" s="145"/>
      <c r="E533" s="154"/>
      <c r="F533" s="155"/>
      <c r="G533" s="144"/>
      <c r="H533" s="144"/>
      <c r="I533" s="144"/>
    </row>
    <row r="534" spans="1:9" ht="14" x14ac:dyDescent="0.15">
      <c r="A534" s="144"/>
      <c r="B534" s="144"/>
      <c r="C534" s="145"/>
      <c r="D534" s="145"/>
      <c r="E534" s="154"/>
      <c r="F534" s="155"/>
      <c r="G534" s="144"/>
      <c r="H534" s="144"/>
      <c r="I534" s="144"/>
    </row>
    <row r="535" spans="1:9" ht="14" x14ac:dyDescent="0.15">
      <c r="A535" s="144"/>
      <c r="B535" s="144"/>
      <c r="C535" s="145"/>
      <c r="D535" s="145"/>
      <c r="E535" s="154"/>
      <c r="F535" s="155"/>
      <c r="G535" s="144"/>
      <c r="H535" s="144"/>
      <c r="I535" s="144"/>
    </row>
    <row r="536" spans="1:9" ht="14" x14ac:dyDescent="0.15">
      <c r="A536" s="144"/>
      <c r="B536" s="144"/>
      <c r="C536" s="145"/>
      <c r="D536" s="145"/>
      <c r="E536" s="154"/>
      <c r="F536" s="155"/>
      <c r="G536" s="144"/>
      <c r="H536" s="144"/>
      <c r="I536" s="144"/>
    </row>
    <row r="537" spans="1:9" ht="14" x14ac:dyDescent="0.15">
      <c r="A537" s="144"/>
      <c r="B537" s="144"/>
      <c r="C537" s="145"/>
      <c r="D537" s="145"/>
      <c r="E537" s="154"/>
      <c r="F537" s="155"/>
      <c r="G537" s="144"/>
      <c r="H537" s="144"/>
      <c r="I537" s="144"/>
    </row>
    <row r="538" spans="1:9" ht="14" x14ac:dyDescent="0.15">
      <c r="A538" s="144"/>
      <c r="B538" s="144"/>
      <c r="C538" s="145"/>
      <c r="D538" s="145"/>
      <c r="E538" s="154"/>
      <c r="F538" s="155"/>
      <c r="G538" s="144"/>
      <c r="H538" s="144"/>
      <c r="I538" s="144"/>
    </row>
    <row r="539" spans="1:9" ht="14" x14ac:dyDescent="0.15">
      <c r="A539" s="144"/>
      <c r="B539" s="144"/>
      <c r="C539" s="145"/>
      <c r="D539" s="145"/>
      <c r="E539" s="154"/>
      <c r="F539" s="155"/>
      <c r="G539" s="144"/>
      <c r="H539" s="144"/>
      <c r="I539" s="144"/>
    </row>
    <row r="540" spans="1:9" ht="14" x14ac:dyDescent="0.15">
      <c r="A540" s="144"/>
      <c r="B540" s="144"/>
      <c r="C540" s="145"/>
      <c r="D540" s="145"/>
      <c r="E540" s="154"/>
      <c r="F540" s="155"/>
      <c r="G540" s="144"/>
      <c r="H540" s="144"/>
      <c r="I540" s="144"/>
    </row>
    <row r="541" spans="1:9" ht="14" x14ac:dyDescent="0.15">
      <c r="A541" s="144"/>
      <c r="B541" s="144"/>
      <c r="C541" s="145"/>
      <c r="D541" s="145"/>
      <c r="E541" s="154"/>
      <c r="F541" s="155"/>
      <c r="G541" s="144"/>
      <c r="H541" s="144"/>
      <c r="I541" s="144"/>
    </row>
    <row r="542" spans="1:9" ht="14" x14ac:dyDescent="0.15">
      <c r="A542" s="144"/>
      <c r="B542" s="144"/>
      <c r="C542" s="145"/>
      <c r="D542" s="145"/>
      <c r="E542" s="154"/>
      <c r="F542" s="155"/>
      <c r="G542" s="144"/>
      <c r="H542" s="144"/>
      <c r="I542" s="144"/>
    </row>
    <row r="543" spans="1:9" ht="14" x14ac:dyDescent="0.15">
      <c r="A543" s="144"/>
      <c r="B543" s="144"/>
      <c r="C543" s="145"/>
      <c r="D543" s="145"/>
      <c r="E543" s="154"/>
      <c r="F543" s="155"/>
      <c r="G543" s="144"/>
      <c r="H543" s="144"/>
      <c r="I543" s="144"/>
    </row>
    <row r="544" spans="1:9" ht="14" x14ac:dyDescent="0.15">
      <c r="A544" s="144"/>
      <c r="B544" s="144"/>
      <c r="C544" s="145"/>
      <c r="D544" s="145"/>
      <c r="E544" s="154"/>
      <c r="F544" s="155"/>
      <c r="G544" s="144"/>
      <c r="H544" s="144"/>
      <c r="I544" s="144"/>
    </row>
    <row r="545" spans="1:9" ht="14" x14ac:dyDescent="0.15">
      <c r="A545" s="144"/>
      <c r="B545" s="144"/>
      <c r="C545" s="145"/>
      <c r="D545" s="145"/>
      <c r="E545" s="154"/>
      <c r="F545" s="155"/>
      <c r="G545" s="144"/>
      <c r="H545" s="144"/>
      <c r="I545" s="144"/>
    </row>
    <row r="546" spans="1:9" ht="14" x14ac:dyDescent="0.15">
      <c r="A546" s="144"/>
      <c r="B546" s="144"/>
      <c r="C546" s="145"/>
      <c r="D546" s="145"/>
      <c r="E546" s="154"/>
      <c r="F546" s="155"/>
      <c r="G546" s="144"/>
      <c r="H546" s="144"/>
      <c r="I546" s="144"/>
    </row>
    <row r="547" spans="1:9" ht="14" x14ac:dyDescent="0.15">
      <c r="A547" s="144"/>
      <c r="B547" s="144"/>
      <c r="C547" s="145"/>
      <c r="D547" s="145"/>
      <c r="E547" s="154"/>
      <c r="F547" s="155"/>
      <c r="G547" s="144"/>
      <c r="H547" s="144"/>
      <c r="I547" s="144"/>
    </row>
    <row r="548" spans="1:9" ht="14" x14ac:dyDescent="0.15">
      <c r="A548" s="144"/>
      <c r="B548" s="144"/>
      <c r="C548" s="145"/>
      <c r="D548" s="145"/>
      <c r="E548" s="154"/>
      <c r="F548" s="155"/>
      <c r="G548" s="144"/>
      <c r="H548" s="144"/>
      <c r="I548" s="144"/>
    </row>
    <row r="549" spans="1:9" ht="14" x14ac:dyDescent="0.15">
      <c r="A549" s="144"/>
      <c r="B549" s="144"/>
      <c r="C549" s="145"/>
      <c r="D549" s="145"/>
      <c r="E549" s="154"/>
      <c r="F549" s="155"/>
      <c r="G549" s="144"/>
      <c r="H549" s="144"/>
      <c r="I549" s="144"/>
    </row>
    <row r="550" spans="1:9" ht="14" x14ac:dyDescent="0.15">
      <c r="A550" s="144"/>
      <c r="B550" s="144"/>
      <c r="C550" s="145"/>
      <c r="D550" s="145"/>
      <c r="E550" s="154"/>
      <c r="F550" s="155"/>
      <c r="G550" s="144"/>
      <c r="H550" s="144"/>
      <c r="I550" s="144"/>
    </row>
    <row r="551" spans="1:9" ht="14" x14ac:dyDescent="0.15">
      <c r="A551" s="144"/>
      <c r="B551" s="144"/>
      <c r="C551" s="145"/>
      <c r="D551" s="145"/>
      <c r="E551" s="154"/>
      <c r="F551" s="155"/>
      <c r="G551" s="144"/>
      <c r="H551" s="144"/>
      <c r="I551" s="144"/>
    </row>
    <row r="552" spans="1:9" ht="14" x14ac:dyDescent="0.15">
      <c r="A552" s="144"/>
      <c r="B552" s="144"/>
      <c r="C552" s="145"/>
      <c r="D552" s="145"/>
      <c r="E552" s="154"/>
      <c r="F552" s="155"/>
      <c r="G552" s="144"/>
      <c r="H552" s="144"/>
      <c r="I552" s="144"/>
    </row>
    <row r="553" spans="1:9" ht="14" x14ac:dyDescent="0.15">
      <c r="A553" s="144"/>
      <c r="B553" s="144"/>
      <c r="C553" s="145"/>
      <c r="D553" s="145"/>
      <c r="E553" s="154"/>
      <c r="F553" s="155"/>
      <c r="G553" s="144"/>
      <c r="H553" s="144"/>
      <c r="I553" s="144"/>
    </row>
    <row r="554" spans="1:9" ht="14" x14ac:dyDescent="0.15">
      <c r="A554" s="144"/>
      <c r="B554" s="144"/>
      <c r="C554" s="145"/>
      <c r="D554" s="145"/>
      <c r="E554" s="154"/>
      <c r="F554" s="155"/>
      <c r="G554" s="144"/>
      <c r="H554" s="144"/>
      <c r="I554" s="144"/>
    </row>
    <row r="555" spans="1:9" ht="14" x14ac:dyDescent="0.15">
      <c r="A555" s="144"/>
      <c r="B555" s="144"/>
      <c r="C555" s="145"/>
      <c r="D555" s="145"/>
      <c r="E555" s="154"/>
      <c r="F555" s="155"/>
      <c r="G555" s="144"/>
      <c r="H555" s="144"/>
      <c r="I555" s="144"/>
    </row>
    <row r="556" spans="1:9" ht="14" x14ac:dyDescent="0.15">
      <c r="A556" s="144"/>
      <c r="B556" s="144"/>
      <c r="C556" s="145"/>
      <c r="D556" s="145"/>
      <c r="E556" s="154"/>
      <c r="F556" s="155"/>
      <c r="G556" s="144"/>
      <c r="H556" s="144"/>
      <c r="I556" s="144"/>
    </row>
    <row r="557" spans="1:9" ht="14" x14ac:dyDescent="0.15">
      <c r="A557" s="144"/>
      <c r="B557" s="144"/>
      <c r="C557" s="145"/>
      <c r="D557" s="145"/>
      <c r="E557" s="154"/>
      <c r="F557" s="155"/>
      <c r="G557" s="144"/>
      <c r="H557" s="144"/>
      <c r="I557" s="144"/>
    </row>
    <row r="558" spans="1:9" ht="14" x14ac:dyDescent="0.15">
      <c r="A558" s="144"/>
      <c r="B558" s="144"/>
      <c r="C558" s="145"/>
      <c r="D558" s="145"/>
      <c r="E558" s="154"/>
      <c r="F558" s="155"/>
      <c r="G558" s="144"/>
      <c r="H558" s="144"/>
      <c r="I558" s="144"/>
    </row>
    <row r="559" spans="1:9" ht="14" x14ac:dyDescent="0.15">
      <c r="A559" s="144"/>
      <c r="B559" s="144"/>
      <c r="C559" s="145"/>
      <c r="D559" s="145"/>
      <c r="E559" s="154"/>
      <c r="F559" s="155"/>
      <c r="G559" s="144"/>
      <c r="H559" s="144"/>
      <c r="I559" s="144"/>
    </row>
    <row r="560" spans="1:9" ht="14" x14ac:dyDescent="0.15">
      <c r="A560" s="144"/>
      <c r="B560" s="144"/>
      <c r="C560" s="145"/>
      <c r="D560" s="145"/>
      <c r="E560" s="154"/>
      <c r="F560" s="155"/>
      <c r="G560" s="144"/>
      <c r="H560" s="144"/>
      <c r="I560" s="144"/>
    </row>
    <row r="561" spans="1:9" ht="14" x14ac:dyDescent="0.15">
      <c r="A561" s="144"/>
      <c r="B561" s="144"/>
      <c r="C561" s="145"/>
      <c r="D561" s="145"/>
      <c r="E561" s="154"/>
      <c r="F561" s="155"/>
      <c r="G561" s="144"/>
      <c r="H561" s="144"/>
      <c r="I561" s="144"/>
    </row>
    <row r="562" spans="1:9" ht="14" x14ac:dyDescent="0.15">
      <c r="A562" s="144"/>
      <c r="B562" s="144"/>
      <c r="C562" s="145"/>
      <c r="D562" s="145"/>
      <c r="E562" s="154"/>
      <c r="F562" s="155"/>
      <c r="G562" s="144"/>
      <c r="H562" s="144"/>
      <c r="I562" s="144"/>
    </row>
    <row r="563" spans="1:9" ht="14" x14ac:dyDescent="0.15">
      <c r="A563" s="144"/>
      <c r="B563" s="144"/>
      <c r="C563" s="145"/>
      <c r="D563" s="145"/>
      <c r="E563" s="154"/>
      <c r="F563" s="155"/>
      <c r="G563" s="144"/>
      <c r="H563" s="144"/>
      <c r="I563" s="144"/>
    </row>
    <row r="564" spans="1:9" ht="14" x14ac:dyDescent="0.15">
      <c r="A564" s="144"/>
      <c r="B564" s="144"/>
      <c r="C564" s="145"/>
      <c r="D564" s="145"/>
      <c r="E564" s="154"/>
      <c r="F564" s="155"/>
      <c r="G564" s="144"/>
      <c r="H564" s="144"/>
      <c r="I564" s="144"/>
    </row>
    <row r="565" spans="1:9" ht="14" x14ac:dyDescent="0.15">
      <c r="A565" s="144"/>
      <c r="B565" s="144"/>
      <c r="C565" s="145"/>
      <c r="D565" s="145"/>
      <c r="E565" s="154"/>
      <c r="F565" s="155"/>
      <c r="G565" s="144"/>
      <c r="H565" s="144"/>
      <c r="I565" s="144"/>
    </row>
    <row r="566" spans="1:9" ht="14" x14ac:dyDescent="0.15">
      <c r="A566" s="144"/>
      <c r="B566" s="144"/>
      <c r="C566" s="145"/>
      <c r="D566" s="145"/>
      <c r="E566" s="154"/>
      <c r="F566" s="155"/>
      <c r="G566" s="144"/>
      <c r="H566" s="144"/>
      <c r="I566" s="144"/>
    </row>
    <row r="567" spans="1:9" ht="14" x14ac:dyDescent="0.15">
      <c r="A567" s="144"/>
      <c r="B567" s="144"/>
      <c r="C567" s="145"/>
      <c r="D567" s="145"/>
      <c r="E567" s="154"/>
      <c r="F567" s="155"/>
      <c r="G567" s="144"/>
      <c r="H567" s="144"/>
      <c r="I567" s="144"/>
    </row>
    <row r="568" spans="1:9" ht="14" x14ac:dyDescent="0.15">
      <c r="A568" s="144"/>
      <c r="B568" s="144"/>
      <c r="C568" s="145"/>
      <c r="D568" s="145"/>
      <c r="E568" s="154"/>
      <c r="F568" s="155"/>
      <c r="G568" s="144"/>
      <c r="H568" s="144"/>
      <c r="I568" s="144"/>
    </row>
    <row r="569" spans="1:9" ht="14" x14ac:dyDescent="0.15">
      <c r="A569" s="144"/>
      <c r="B569" s="144"/>
      <c r="C569" s="145"/>
      <c r="D569" s="145"/>
      <c r="E569" s="154"/>
      <c r="F569" s="155"/>
      <c r="G569" s="144"/>
      <c r="H569" s="144"/>
      <c r="I569" s="144"/>
    </row>
    <row r="570" spans="1:9" ht="14" x14ac:dyDescent="0.15">
      <c r="A570" s="144"/>
      <c r="B570" s="144"/>
      <c r="C570" s="145"/>
      <c r="D570" s="145"/>
      <c r="E570" s="154"/>
      <c r="F570" s="155"/>
      <c r="G570" s="144"/>
      <c r="H570" s="144"/>
      <c r="I570" s="144"/>
    </row>
    <row r="571" spans="1:9" ht="14" x14ac:dyDescent="0.15">
      <c r="A571" s="144"/>
      <c r="B571" s="144"/>
      <c r="C571" s="145"/>
      <c r="D571" s="145"/>
      <c r="E571" s="154"/>
      <c r="F571" s="155"/>
      <c r="G571" s="144"/>
      <c r="H571" s="144"/>
      <c r="I571" s="144"/>
    </row>
    <row r="572" spans="1:9" ht="14" x14ac:dyDescent="0.15">
      <c r="A572" s="144"/>
      <c r="B572" s="144"/>
      <c r="C572" s="145"/>
      <c r="D572" s="145"/>
      <c r="E572" s="154"/>
      <c r="F572" s="155"/>
      <c r="G572" s="144"/>
      <c r="H572" s="144"/>
      <c r="I572" s="144"/>
    </row>
    <row r="573" spans="1:9" ht="14" x14ac:dyDescent="0.15">
      <c r="A573" s="144"/>
      <c r="B573" s="144"/>
      <c r="C573" s="145"/>
      <c r="D573" s="145"/>
      <c r="E573" s="154"/>
      <c r="F573" s="155"/>
      <c r="G573" s="144"/>
      <c r="H573" s="144"/>
      <c r="I573" s="144"/>
    </row>
    <row r="574" spans="1:9" ht="14" x14ac:dyDescent="0.15">
      <c r="A574" s="144"/>
      <c r="B574" s="144"/>
      <c r="C574" s="145"/>
      <c r="D574" s="145"/>
      <c r="E574" s="154"/>
      <c r="F574" s="155"/>
      <c r="G574" s="144"/>
      <c r="H574" s="144"/>
      <c r="I574" s="144"/>
    </row>
    <row r="575" spans="1:9" ht="14" x14ac:dyDescent="0.15">
      <c r="A575" s="144"/>
      <c r="B575" s="144"/>
      <c r="C575" s="145"/>
      <c r="D575" s="145"/>
      <c r="E575" s="154"/>
      <c r="F575" s="155"/>
      <c r="G575" s="144"/>
      <c r="H575" s="144"/>
      <c r="I575" s="144"/>
    </row>
    <row r="576" spans="1:9" ht="14" x14ac:dyDescent="0.15">
      <c r="A576" s="144"/>
      <c r="B576" s="144"/>
      <c r="C576" s="145"/>
      <c r="D576" s="145"/>
      <c r="E576" s="154"/>
      <c r="F576" s="155"/>
      <c r="G576" s="144"/>
      <c r="H576" s="144"/>
      <c r="I576" s="144"/>
    </row>
    <row r="577" spans="1:9" ht="14" x14ac:dyDescent="0.15">
      <c r="A577" s="144"/>
      <c r="B577" s="144"/>
      <c r="C577" s="145"/>
      <c r="D577" s="145"/>
      <c r="E577" s="154"/>
      <c r="F577" s="155"/>
      <c r="G577" s="144"/>
      <c r="H577" s="144"/>
      <c r="I577" s="144"/>
    </row>
    <row r="578" spans="1:9" ht="14" x14ac:dyDescent="0.15">
      <c r="A578" s="144"/>
      <c r="B578" s="144"/>
      <c r="C578" s="145"/>
      <c r="D578" s="145"/>
      <c r="E578" s="154"/>
      <c r="F578" s="155"/>
      <c r="G578" s="144"/>
      <c r="H578" s="144"/>
      <c r="I578" s="144"/>
    </row>
    <row r="579" spans="1:9" ht="14" x14ac:dyDescent="0.15">
      <c r="A579" s="144"/>
      <c r="B579" s="144"/>
      <c r="C579" s="145"/>
      <c r="D579" s="145"/>
      <c r="E579" s="154"/>
      <c r="F579" s="155"/>
      <c r="G579" s="144"/>
      <c r="H579" s="144"/>
      <c r="I579" s="144"/>
    </row>
    <row r="580" spans="1:9" ht="14" x14ac:dyDescent="0.15">
      <c r="A580" s="144"/>
      <c r="B580" s="144"/>
      <c r="C580" s="145"/>
      <c r="D580" s="145"/>
      <c r="E580" s="154"/>
      <c r="F580" s="155"/>
      <c r="G580" s="144"/>
      <c r="H580" s="144"/>
      <c r="I580" s="144"/>
    </row>
    <row r="581" spans="1:9" ht="14" x14ac:dyDescent="0.15">
      <c r="A581" s="144"/>
      <c r="B581" s="144"/>
      <c r="C581" s="145"/>
      <c r="D581" s="145"/>
      <c r="E581" s="154"/>
      <c r="F581" s="155"/>
      <c r="G581" s="144"/>
      <c r="H581" s="144"/>
      <c r="I581" s="144"/>
    </row>
  </sheetData>
  <mergeCells count="3">
    <mergeCell ref="C1:F1"/>
    <mergeCell ref="C2:F2"/>
    <mergeCell ref="C3:F3"/>
  </mergeCells>
  <hyperlinks>
    <hyperlink ref="E5" r:id="rId1" display="https://www.linkedin.com/learning/creating-a-positive-and-healthy-work-environment" xr:uid="{00000000-0004-0000-0D00-000000000000}"/>
    <hyperlink ref="F5" r:id="rId2" display="https://www.linkedin.com/learning/paths/remote-working-setting-yourself-and-your-teams-up-for-success?u=104" xr:uid="{00000000-0004-0000-0D00-000001000000}"/>
    <hyperlink ref="F6" r:id="rId3" display="https://www.linkedin.com/learning/paths/supporting-your-well-being-during-times-of-change-and-uncertainty" xr:uid="{00000000-0004-0000-0D00-000002000000}"/>
    <hyperlink ref="E7" r:id="rId4" display="https://www.linkedin.com/learning/driving-measurable-sustainable-change" xr:uid="{00000000-0004-0000-0D00-000003000000}"/>
    <hyperlink ref="F7" r:id="rId5" display="https://www.linkedin.com/learning/paths/manage-change-and-develop-your-adaptability-skills" xr:uid="{00000000-0004-0000-0D00-000004000000}"/>
    <hyperlink ref="E8" r:id="rId6" display="https://www.linkedin.com/learning/overcoming-overwhelm" xr:uid="{00000000-0004-0000-0D00-000005000000}"/>
    <hyperlink ref="F8" r:id="rId7" display="https://www.linkedin.com/learning/paths/staying-positive-and-productive-during-uncertainty" xr:uid="{00000000-0004-0000-0D00-000006000000}"/>
    <hyperlink ref="E9" r:id="rId8" display="https://www.linkedin.com/learning/leading-with-fearless-mindfulness" xr:uid="{00000000-0004-0000-0D00-000007000000}"/>
    <hyperlink ref="F9" r:id="rId9" display="https://www.linkedin.com/learning/paths/support-your-mental-health-during-challenging-times" xr:uid="{00000000-0004-0000-0D00-000008000000}"/>
    <hyperlink ref="E10" r:id="rId10" display="https://www.linkedin.com/learning/finding-and-doing-the-one-thing" xr:uid="{00000000-0004-0000-0D00-000009000000}"/>
    <hyperlink ref="E11" r:id="rId11" display="https://www.linkedin.com/learning/finding-your-introvert-extrovert-balance-in-the-workplace" xr:uid="{00000000-0004-0000-0D00-00000A000000}"/>
    <hyperlink ref="E12" r:id="rId12" display="https://www.linkedin.com/learning/managing-your-energy" xr:uid="{00000000-0004-0000-0D00-00000B000000}"/>
    <hyperlink ref="E13" r:id="rId13" display="https://www.linkedin.com/learning/well-being-in-the-workplace" xr:uid="{00000000-0004-0000-0D00-00000C000000}"/>
    <hyperlink ref="E14" r:id="rId14" display="https://www.linkedin.com/learning/managing-self-doubt-to-tackle-bigger-challenges" xr:uid="{00000000-0004-0000-0D00-00000D000000}"/>
    <hyperlink ref="E15" r:id="rId15" display="https://www.linkedin.com/learning/using-your-mind-to-change-your-brain" xr:uid="{00000000-0004-0000-0D00-00000E000000}"/>
    <hyperlink ref="E16" r:id="rId16" display="https://www.linkedin.com/learning/chair-work-yoga-fitness-and-stretching-at-your-desk" xr:uid="{00000000-0004-0000-0D00-00000F000000}"/>
    <hyperlink ref="E17" r:id="rId17" display="https://www.linkedin.com/learning/how-to-slash-anxiety-and-keep-positivity-flowing" xr:uid="{00000000-0004-0000-0D00-000010000000}"/>
    <hyperlink ref="E18" r:id="rId18" display="https://www.linkedin.com/learning/breathing-exercises-for-mask-wearers" xr:uid="{00000000-0004-0000-0D00-000011000000}"/>
    <hyperlink ref="E19" r:id="rId19" display="https://www.linkedin.com/learning/building-better-routines" xr:uid="{00000000-0004-0000-0D00-000012000000}"/>
    <hyperlink ref="E20" r:id="rId20" display="https://www.linkedin.com/learning/teaching-civility-in-the-workplace" xr:uid="{00000000-0004-0000-0D00-000013000000}"/>
    <hyperlink ref="E21" r:id="rId21" display="https://www.linkedin.com/learning/de-stress" xr:uid="{00000000-0004-0000-0D00-000014000000}"/>
    <hyperlink ref="E22" r:id="rId22" display="https://www.linkedin.com/learning/overcoming-impostor-syndrome" xr:uid="{00000000-0004-0000-0D00-000015000000}"/>
    <hyperlink ref="E23" r:id="rId23" display="https://www.linkedin.com/learning/stop-stressing-and-keep-moving-forward" xr:uid="{00000000-0004-0000-0D00-000016000000}"/>
    <hyperlink ref="E24" r:id="rId24" display="https://www.linkedin.com/learning/anger-management" xr:uid="{00000000-0004-0000-0D00-000017000000}"/>
    <hyperlink ref="E25" r:id="rId25" display="https://www.linkedin.com/learning/the-science-of-compassion-compassionate-presence" xr:uid="{00000000-0004-0000-0D00-000018000000}"/>
    <hyperlink ref="E26" r:id="rId26" display="https://www.linkedin.com/learning/mindfulness-for-beginners" xr:uid="{00000000-0004-0000-0D00-000019000000}"/>
    <hyperlink ref="E27" r:id="rId27" display="https://www.linkedin.com/learning/neck-stretching-exercises-for-computer-users-and-texters" xr:uid="{00000000-0004-0000-0D00-00001A000000}"/>
    <hyperlink ref="E28" r:id="rId28" display="https://www.linkedin.com/learning/the-mindful-workday" xr:uid="{00000000-0004-0000-0D00-00001B000000}"/>
    <hyperlink ref="E29" r:id="rId29" display="https://www.linkedin.com/learning/setting-limits-with-your-smartphone" xr:uid="{00000000-0004-0000-0D00-00001C000000}"/>
    <hyperlink ref="E30" r:id="rId30" display="https://www.linkedin.com/learning/ergonomics-101" xr:uid="{00000000-0004-0000-0D00-00001D000000}"/>
    <hyperlink ref="E31" r:id="rId31" display="https://www.linkedin.com/learning/developing-your-emotional-intelligence" xr:uid="{00000000-0004-0000-0D00-00001E000000}"/>
    <hyperlink ref="E32" r:id="rId32" display="https://www.linkedin.com/learning/meditations-to-change-your-brain" xr:uid="{00000000-0004-0000-0D00-00001F000000}"/>
    <hyperlink ref="E33" r:id="rId33" display="https://www.linkedin.com/learning/developing-self-awareness" xr:uid="{00000000-0004-0000-0D00-000020000000}"/>
    <hyperlink ref="E34" r:id="rId34" display="https://www.linkedin.com/learning/avoiding-burnout-2019" xr:uid="{00000000-0004-0000-0D00-000021000000}"/>
    <hyperlink ref="E35" r:id="rId35" display="https://www.linkedin.com/learning/sky-yogi-relax-and-stretch-for-a-better-flight" xr:uid="{00000000-0004-0000-0D00-000022000000}"/>
    <hyperlink ref="E36" r:id="rId36" display="https://www.linkedin.com/learning/boost-emotional-intelligence-with-mindfulness" xr:uid="{00000000-0004-0000-0D00-000023000000}"/>
    <hyperlink ref="E37" r:id="rId37" display="https://www.linkedin.com/learning/managing-stress-2019" xr:uid="{00000000-0004-0000-0D00-000024000000}"/>
    <hyperlink ref="E38" r:id="rId38" display="https://www.linkedin.com/learning/being-positive-at-work" xr:uid="{00000000-0004-0000-0D00-000025000000}"/>
    <hyperlink ref="E39" r:id="rId39" display="https://www.linkedin.com/learning/supporting-a-grieving-employee-a-manager-s-guide" xr:uid="{00000000-0004-0000-0D00-000026000000}"/>
    <hyperlink ref="E40" r:id="rId40" display="https://www.linkedin.com/learning/managing-stress-for-positive-change" xr:uid="{00000000-0004-0000-0D00-000027000000}"/>
    <hyperlink ref="E41" r:id="rId41" display="https://www.linkedin.com/learning/developing-adaptable-employees" xr:uid="{00000000-0004-0000-0D00-000028000000}"/>
    <hyperlink ref="E42" r:id="rId42" display="https://www.linkedin.com/learning/meditation-audio-course" xr:uid="{00000000-0004-0000-0D00-000029000000}"/>
    <hyperlink ref="E43" r:id="rId43" display="https://www.linkedin.com/learning/the-45-minute-business-plan" xr:uid="{00000000-0004-0000-0D00-00002A000000}"/>
    <hyperlink ref="E44" r:id="rId44" display="https://www.linkedin.com/learning/humor-in-the-workplace" xr:uid="{00000000-0004-0000-0D00-00002B000000}"/>
    <hyperlink ref="E45" r:id="rId45" display="https://www.linkedin.com/learning/gretchen-rubin-on-creating-great-workplace-habits" xr:uid="{00000000-0004-0000-0D00-00002C000000}"/>
    <hyperlink ref="E46" r:id="rId46" display="https://www.linkedin.com/learning/arianna-huffington-s-thrive-01-discovering-meditation-and-sleep" xr:uid="{00000000-0004-0000-0D00-00002D000000}"/>
    <hyperlink ref="E47" r:id="rId47" display="https://www.linkedin.com/learning/the-leader-s-guide-to-mindfulness-getabstract-summary" xr:uid="{00000000-0004-0000-0D00-00002E000000}"/>
    <hyperlink ref="E48" r:id="rId48" display="https://www.linkedin.com/learning/esther-dyson-on-cultivating-health-at-scale" xr:uid="{00000000-0004-0000-0D00-00002F000000}"/>
    <hyperlink ref="E49" r:id="rId49" display="https://www.linkedin.com/learning/sheryl-sandberg-and-adam-grant-on-option-b-building-resilience" xr:uid="{00000000-0004-0000-0D00-000030000000}"/>
    <hyperlink ref="E50" r:id="rId50" display="https://www.linkedin.com/learning/arianna-huffington-s-thrive-02-learning-how-to-unplug-and-recharge" xr:uid="{00000000-0004-0000-0D00-000031000000}"/>
    <hyperlink ref="E51" r:id="rId51" display="https://www.linkedin.com/learning/arianna-huffington-s-thrive-05-igniting-joy-through-presence-and-wonder" xr:uid="{00000000-0004-0000-0D00-000032000000}"/>
    <hyperlink ref="E52" r:id="rId52" display="https://www.linkedin.com/learning/the-courage-habit-getabstract-summary" xr:uid="{00000000-0004-0000-0D00-000033000000}"/>
    <hyperlink ref="E53" r:id="rId53" display="https://www.linkedin.com/learning/being-the-best-you-self-improvement-modeling" xr:uid="{00000000-0004-0000-0D00-000034000000}"/>
    <hyperlink ref="E54" r:id="rId54" display="https://www.linkedin.com/learning/supporting-your-mental-health-while-working-from-home" xr:uid="{00000000-0004-0000-0D00-000035000000}"/>
    <hyperlink ref="E55" r:id="rId55" display="https://www.linkedin.com/learning/bring-your-human-to-work-getabstract-summary" xr:uid="{00000000-0004-0000-0D00-000036000000}"/>
    <hyperlink ref="E56" r:id="rId56" display="https://www.linkedin.com/learning/life-mastery-achieving-happiness-and-success" xr:uid="{00000000-0004-0000-0D00-000037000000}"/>
    <hyperlink ref="E57" r:id="rId57" display="https://www.linkedin.com/learning/creating-an-amazing-life" xr:uid="{00000000-0004-0000-0D00-000038000000}"/>
    <hyperlink ref="E58" r:id="rId58" display="https://www.linkedin.com/learning/arianna-huffington-s-thrive-06-understanding-the-link-between-giving-and-success" xr:uid="{00000000-0004-0000-0D00-000039000000}"/>
    <hyperlink ref="E59" r:id="rId59" display="https://www.linkedin.com/learning/happiness-tips-weekly" xr:uid="{00000000-0004-0000-0D00-00003A000000}"/>
    <hyperlink ref="E60" r:id="rId60" display="https://www.linkedin.com/learning/learning-to-say-no" xr:uid="{00000000-0004-0000-0D00-00003B000000}"/>
    <hyperlink ref="E61" r:id="rId61" display="https://www.linkedin.com/learning/disrupting-yourself" xr:uid="{00000000-0004-0000-0D00-00003C000000}"/>
    <hyperlink ref="E62" r:id="rId62" display="https://www.linkedin.com/learning/the-internet-trap-five-costs-of-living-online-getabstract-summary" xr:uid="{00000000-0004-0000-0D00-00003D000000}"/>
    <hyperlink ref="E63" r:id="rId63" display="https://www.linkedin.com/learning/the-five-thieves-of-happiness-getabstract-summary" xr:uid="{00000000-0004-0000-0D00-00003E000000}"/>
    <hyperlink ref="E64" r:id="rId64" display="https://www.linkedin.com/learning/balancing-work-and-life-as-a-work-from-home-parent" xr:uid="{00000000-0004-0000-0D00-00003F000000}"/>
    <hyperlink ref="E65" r:id="rId65" display="https://www.linkedin.com/learning/essentials-of-mindfulness-and-compassion-with-scott-shute" xr:uid="{00000000-0004-0000-0D00-000040000000}"/>
    <hyperlink ref="E66" r:id="rId66" display="https://www.linkedin.com/learning/how-to-manage-feeling-overwhelmed" xr:uid="{00000000-0004-0000-0D00-000041000000}"/>
    <hyperlink ref="E67" r:id="rId67" display="https://www.linkedin.com/learning/confronting-bias-thriving-across-our-differences" xr:uid="{00000000-0004-0000-0D00-000042000000}"/>
    <hyperlink ref="E68" r:id="rId68" display="https://www.linkedin.com/learning/arianna-huffington-s-thrive-03-setting-priorities-and-letting-go" xr:uid="{00000000-0004-0000-0D00-000043000000}"/>
    <hyperlink ref="E69" r:id="rId69" display="https://www.linkedin.com/learning/managing-depression-in-the-workplace" xr:uid="{00000000-0004-0000-0D00-000044000000}"/>
    <hyperlink ref="E70" r:id="rId70" display="https://www.linkedin.com/learning/balancing-work-and-life" xr:uid="{00000000-0004-0000-0D00-000045000000}"/>
    <hyperlink ref="E71" r:id="rId71" display="https://www.linkedin.com/learning/arianna-huffington-s-thrive-04-facing-challenges-with-gratitude-and-forgiveness" xr:uid="{00000000-0004-0000-0D00-000046000000}"/>
    <hyperlink ref="E72" r:id="rId72" display="https://www.linkedin.com/learning/recharge-your-energy-for-peak-performance" xr:uid="{00000000-0004-0000-0D00-000047000000}"/>
    <hyperlink ref="E73" r:id="rId73" display="https://www.linkedin.com/learning/managing-anxiety-in-the-workplace" xr:uid="{00000000-0004-0000-0D00-000048000000}"/>
    <hyperlink ref="E74" r:id="rId74" display="https://www.linkedin.com/learning/mindfulness-practices" xr:uid="{00000000-0004-0000-0D00-000049000000}"/>
    <hyperlink ref="E75" r:id="rId75" display="https://www.linkedin.com/learning/the-culture-code-blinkist" xr:uid="{00000000-0004-0000-0D00-00004A000000}"/>
    <hyperlink ref="E76" r:id="rId76" display="https://www.linkedin.com/learning/thriving-work-leveraging-the-connection-between-well-being-and-productivity" xr:uid="{00000000-0004-0000-0D00-00004B000000}"/>
    <hyperlink ref="E77" r:id="rId77" display="https://www.linkedin.com/learning/when-the-scientific-secrets-of-perfect-timing-blinkist" xr:uid="{00000000-0004-0000-0D00-00004C000000}"/>
    <hyperlink ref="E78" r:id="rId78" display="https://www.linkedin.com/learning/unsubscribe-how-to-kill-email-anxiety-avoid-distractions-and-get-real-work-done-blinkist" xr:uid="{00000000-0004-0000-0D00-00004D000000}"/>
    <hyperlink ref="E79" r:id="rId79" display="https://www.linkedin.com/learning/driving-workplace-happiness" xr:uid="{00000000-0004-0000-0D00-00004E000000}"/>
    <hyperlink ref="E80" r:id="rId80" display="https://www.linkedin.com/learning/balancing-multiple-roles-as-a-leader" xr:uid="{00000000-0004-0000-0D00-00004F000000}"/>
    <hyperlink ref="E81" r:id="rId81" display="https://www.linkedin.com/learning/how-to-be-a-positive-leader-blinkist" xr:uid="{00000000-0004-0000-0D00-000050000000}"/>
    <hyperlink ref="E82" r:id="rId82" display="https://www.linkedin.com/learning/ways-to-build-a-winning-team-trust-freedom-and-play" xr:uid="{00000000-0004-0000-0D00-000051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xr:uid="{00000000-0002-0000-0D00-000000000000}">
          <x14:formula1>
            <xm:f>'All Competencies'!$A$3:$A581</xm:f>
          </x14:formula1>
          <xm:sqref>A1:C1 G1:I1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E1851"/>
  <sheetViews>
    <sheetView showGridLines="0" workbookViewId="0">
      <pane ySplit="1" topLeftCell="A2" activePane="bottomLeft" state="frozen"/>
      <selection pane="bottomLeft" activeCell="B3" sqref="B3"/>
    </sheetView>
  </sheetViews>
  <sheetFormatPr baseColWidth="10" defaultColWidth="14.5" defaultRowHeight="15.75" customHeight="1" x14ac:dyDescent="0.15"/>
  <cols>
    <col min="1" max="1" width="45" customWidth="1"/>
    <col min="2" max="2" width="15.1640625" customWidth="1"/>
    <col min="3" max="3" width="27.83203125" customWidth="1"/>
    <col min="4" max="4" width="90.5" customWidth="1"/>
    <col min="5" max="5" width="49.1640625" customWidth="1"/>
  </cols>
  <sheetData>
    <row r="1" spans="1:5" ht="15.75" customHeight="1" x14ac:dyDescent="0.15">
      <c r="A1" s="16" t="s">
        <v>4</v>
      </c>
      <c r="B1" s="17" t="s">
        <v>5</v>
      </c>
      <c r="C1" s="17" t="s">
        <v>6</v>
      </c>
      <c r="D1" s="16" t="s">
        <v>7</v>
      </c>
      <c r="E1" s="17" t="s">
        <v>8</v>
      </c>
    </row>
    <row r="2" spans="1:5" x14ac:dyDescent="0.2">
      <c r="A2" s="18" t="s">
        <v>9</v>
      </c>
      <c r="B2" s="19" t="s">
        <v>10</v>
      </c>
      <c r="C2" s="19" t="s">
        <v>11</v>
      </c>
      <c r="D2" s="20" t="s">
        <v>12</v>
      </c>
      <c r="E2" s="21" t="s">
        <v>13</v>
      </c>
    </row>
    <row r="3" spans="1:5" x14ac:dyDescent="0.2">
      <c r="A3" s="18" t="s">
        <v>9</v>
      </c>
      <c r="B3" s="22">
        <v>616665</v>
      </c>
      <c r="C3" s="23" t="s">
        <v>14</v>
      </c>
      <c r="D3" s="24" t="s">
        <v>15</v>
      </c>
      <c r="E3" s="25" t="s">
        <v>16</v>
      </c>
    </row>
    <row r="4" spans="1:5" x14ac:dyDescent="0.2">
      <c r="A4" s="26" t="s">
        <v>9</v>
      </c>
      <c r="B4" s="22">
        <v>2804658</v>
      </c>
      <c r="C4" s="27" t="s">
        <v>17</v>
      </c>
      <c r="D4" s="24" t="s">
        <v>18</v>
      </c>
      <c r="E4" s="25" t="str">
        <f>HYPERLINK("https://www.linkedin.com/learning/paths/become-a-high-performer-2","Become a High Performer")</f>
        <v>Become a High Performer</v>
      </c>
    </row>
    <row r="5" spans="1:5" x14ac:dyDescent="0.2">
      <c r="A5" s="18" t="s">
        <v>9</v>
      </c>
      <c r="B5" s="22">
        <v>170777</v>
      </c>
      <c r="C5" s="27" t="s">
        <v>17</v>
      </c>
      <c r="D5" s="24" t="s">
        <v>19</v>
      </c>
      <c r="E5" s="25" t="str">
        <f>HYPERLINK("https://www.linkedin.com/learning/paths/remote-working-setting-yourself-and-your-teams-up-for-success","Remote Working: Setting Yourself and Your Teams Up for Success")</f>
        <v>Remote Working: Setting Yourself and Your Teams Up for Success</v>
      </c>
    </row>
    <row r="6" spans="1:5" x14ac:dyDescent="0.2">
      <c r="A6" s="18" t="s">
        <v>9</v>
      </c>
      <c r="B6" s="22">
        <v>777381</v>
      </c>
      <c r="C6" s="27" t="s">
        <v>17</v>
      </c>
      <c r="D6" s="24" t="s">
        <v>20</v>
      </c>
      <c r="E6" s="25" t="s">
        <v>21</v>
      </c>
    </row>
    <row r="7" spans="1:5" x14ac:dyDescent="0.2">
      <c r="A7" s="18" t="s">
        <v>9</v>
      </c>
      <c r="B7" s="22">
        <v>661751</v>
      </c>
      <c r="C7" s="27" t="s">
        <v>17</v>
      </c>
      <c r="D7" s="24" t="s">
        <v>22</v>
      </c>
      <c r="E7" s="28"/>
    </row>
    <row r="8" spans="1:5" x14ac:dyDescent="0.2">
      <c r="A8" s="18" t="s">
        <v>9</v>
      </c>
      <c r="B8" s="22">
        <v>185320</v>
      </c>
      <c r="C8" s="27" t="s">
        <v>17</v>
      </c>
      <c r="D8" s="24" t="s">
        <v>23</v>
      </c>
      <c r="E8" s="28"/>
    </row>
    <row r="9" spans="1:5" x14ac:dyDescent="0.2">
      <c r="A9" s="18" t="s">
        <v>9</v>
      </c>
      <c r="B9" s="22">
        <v>427444</v>
      </c>
      <c r="C9" s="27" t="s">
        <v>17</v>
      </c>
      <c r="D9" s="24" t="s">
        <v>24</v>
      </c>
      <c r="E9" s="28"/>
    </row>
    <row r="10" spans="1:5" x14ac:dyDescent="0.2">
      <c r="A10" s="18" t="s">
        <v>9</v>
      </c>
      <c r="B10" s="22">
        <v>718618</v>
      </c>
      <c r="C10" s="27" t="s">
        <v>17</v>
      </c>
      <c r="D10" s="24" t="s">
        <v>25</v>
      </c>
      <c r="E10" s="28"/>
    </row>
    <row r="11" spans="1:5" x14ac:dyDescent="0.2">
      <c r="A11" s="18" t="s">
        <v>9</v>
      </c>
      <c r="B11" s="22">
        <v>88536</v>
      </c>
      <c r="C11" s="27" t="s">
        <v>17</v>
      </c>
      <c r="D11" s="24" t="s">
        <v>26</v>
      </c>
      <c r="E11" s="28"/>
    </row>
    <row r="12" spans="1:5" x14ac:dyDescent="0.2">
      <c r="A12" s="18" t="s">
        <v>9</v>
      </c>
      <c r="B12" s="22">
        <v>458640</v>
      </c>
      <c r="C12" s="23" t="s">
        <v>17</v>
      </c>
      <c r="D12" s="24" t="s">
        <v>27</v>
      </c>
      <c r="E12" s="28"/>
    </row>
    <row r="13" spans="1:5" x14ac:dyDescent="0.2">
      <c r="A13" s="18" t="s">
        <v>9</v>
      </c>
      <c r="B13" s="22">
        <v>458641</v>
      </c>
      <c r="C13" s="27" t="s">
        <v>17</v>
      </c>
      <c r="D13" s="24" t="s">
        <v>28</v>
      </c>
      <c r="E13" s="28"/>
    </row>
    <row r="14" spans="1:5" x14ac:dyDescent="0.2">
      <c r="A14" s="18" t="s">
        <v>9</v>
      </c>
      <c r="B14" s="29">
        <v>2810933</v>
      </c>
      <c r="C14" s="30" t="s">
        <v>17</v>
      </c>
      <c r="D14" s="24" t="s">
        <v>29</v>
      </c>
      <c r="E14" s="28"/>
    </row>
    <row r="15" spans="1:5" x14ac:dyDescent="0.2">
      <c r="A15" s="18" t="s">
        <v>9</v>
      </c>
      <c r="B15" s="22">
        <v>170776</v>
      </c>
      <c r="C15" s="27" t="s">
        <v>17</v>
      </c>
      <c r="D15" s="24" t="s">
        <v>30</v>
      </c>
      <c r="E15" s="28"/>
    </row>
    <row r="16" spans="1:5" x14ac:dyDescent="0.2">
      <c r="A16" s="18" t="s">
        <v>9</v>
      </c>
      <c r="B16" s="22">
        <v>625908</v>
      </c>
      <c r="C16" s="23" t="s">
        <v>17</v>
      </c>
      <c r="D16" s="24" t="s">
        <v>31</v>
      </c>
      <c r="E16" s="28"/>
    </row>
    <row r="17" spans="1:5" x14ac:dyDescent="0.2">
      <c r="A17" s="18" t="s">
        <v>9</v>
      </c>
      <c r="B17" s="22">
        <v>533302</v>
      </c>
      <c r="C17" s="27" t="s">
        <v>17</v>
      </c>
      <c r="D17" s="24" t="s">
        <v>32</v>
      </c>
      <c r="E17" s="28"/>
    </row>
    <row r="18" spans="1:5" x14ac:dyDescent="0.2">
      <c r="A18" s="18" t="s">
        <v>9</v>
      </c>
      <c r="B18" s="22">
        <v>661749</v>
      </c>
      <c r="C18" s="27" t="s">
        <v>17</v>
      </c>
      <c r="D18" s="24" t="s">
        <v>33</v>
      </c>
      <c r="E18" s="28"/>
    </row>
    <row r="19" spans="1:5" x14ac:dyDescent="0.2">
      <c r="A19" s="18" t="s">
        <v>9</v>
      </c>
      <c r="B19" s="22">
        <v>114903</v>
      </c>
      <c r="C19" s="27" t="s">
        <v>17</v>
      </c>
      <c r="D19" s="24" t="s">
        <v>34</v>
      </c>
      <c r="E19" s="28"/>
    </row>
    <row r="20" spans="1:5" x14ac:dyDescent="0.2">
      <c r="A20" s="18" t="s">
        <v>9</v>
      </c>
      <c r="B20" s="22">
        <v>734629</v>
      </c>
      <c r="C20" s="23" t="s">
        <v>17</v>
      </c>
      <c r="D20" s="24" t="s">
        <v>35</v>
      </c>
      <c r="E20" s="28"/>
    </row>
    <row r="21" spans="1:5" x14ac:dyDescent="0.2">
      <c r="A21" s="18" t="s">
        <v>9</v>
      </c>
      <c r="B21" s="22">
        <v>599597</v>
      </c>
      <c r="C21" s="23" t="s">
        <v>17</v>
      </c>
      <c r="D21" s="24" t="s">
        <v>36</v>
      </c>
      <c r="E21" s="28"/>
    </row>
    <row r="22" spans="1:5" x14ac:dyDescent="0.2">
      <c r="A22" s="18" t="s">
        <v>9</v>
      </c>
      <c r="B22" s="22">
        <v>5034165</v>
      </c>
      <c r="C22" s="27" t="s">
        <v>17</v>
      </c>
      <c r="D22" s="24" t="s">
        <v>37</v>
      </c>
      <c r="E22" s="28"/>
    </row>
    <row r="23" spans="1:5" x14ac:dyDescent="0.2">
      <c r="A23" s="18" t="s">
        <v>9</v>
      </c>
      <c r="B23" s="22">
        <v>669533</v>
      </c>
      <c r="C23" s="27" t="s">
        <v>17</v>
      </c>
      <c r="D23" s="24" t="s">
        <v>38</v>
      </c>
      <c r="E23" s="28"/>
    </row>
    <row r="24" spans="1:5" x14ac:dyDescent="0.2">
      <c r="A24" s="18" t="s">
        <v>9</v>
      </c>
      <c r="B24" s="22">
        <v>155342</v>
      </c>
      <c r="C24" s="27" t="s">
        <v>17</v>
      </c>
      <c r="D24" s="24" t="s">
        <v>39</v>
      </c>
      <c r="E24" s="28"/>
    </row>
    <row r="25" spans="1:5" x14ac:dyDescent="0.2">
      <c r="A25" s="18" t="s">
        <v>9</v>
      </c>
      <c r="B25" s="22">
        <v>397387</v>
      </c>
      <c r="C25" s="27" t="s">
        <v>17</v>
      </c>
      <c r="D25" s="24" t="s">
        <v>40</v>
      </c>
      <c r="E25" s="28"/>
    </row>
    <row r="26" spans="1:5" x14ac:dyDescent="0.2">
      <c r="A26" s="18" t="s">
        <v>9</v>
      </c>
      <c r="B26" s="22">
        <v>578055</v>
      </c>
      <c r="C26" s="27" t="s">
        <v>17</v>
      </c>
      <c r="D26" s="24" t="s">
        <v>41</v>
      </c>
      <c r="E26" s="28"/>
    </row>
    <row r="27" spans="1:5" x14ac:dyDescent="0.2">
      <c r="A27" s="18" t="s">
        <v>9</v>
      </c>
      <c r="B27" s="22">
        <v>2813145</v>
      </c>
      <c r="C27" s="27" t="s">
        <v>17</v>
      </c>
      <c r="D27" s="24" t="s">
        <v>42</v>
      </c>
      <c r="E27" s="28"/>
    </row>
    <row r="28" spans="1:5" x14ac:dyDescent="0.2">
      <c r="A28" s="18" t="s">
        <v>9</v>
      </c>
      <c r="B28" s="22">
        <v>2813184</v>
      </c>
      <c r="C28" s="27" t="s">
        <v>17</v>
      </c>
      <c r="D28" s="24" t="s">
        <v>43</v>
      </c>
      <c r="E28" s="28"/>
    </row>
    <row r="29" spans="1:5" x14ac:dyDescent="0.2">
      <c r="A29" s="18" t="s">
        <v>9</v>
      </c>
      <c r="B29" s="22">
        <v>2813277</v>
      </c>
      <c r="C29" s="27" t="s">
        <v>17</v>
      </c>
      <c r="D29" s="24" t="s">
        <v>44</v>
      </c>
      <c r="E29" s="28"/>
    </row>
    <row r="30" spans="1:5" x14ac:dyDescent="0.2">
      <c r="A30" s="18" t="s">
        <v>9</v>
      </c>
      <c r="B30" s="22">
        <v>2813278</v>
      </c>
      <c r="C30" s="27" t="s">
        <v>17</v>
      </c>
      <c r="D30" s="24" t="str">
        <f>HYPERLINK("https://www.linkedin.com/learning/time-management-tips-following-through-2019","Time Management Tips: Following Through")</f>
        <v>Time Management Tips: Following Through</v>
      </c>
      <c r="E30" s="28"/>
    </row>
    <row r="31" spans="1:5" x14ac:dyDescent="0.2">
      <c r="A31" s="18" t="s">
        <v>9</v>
      </c>
      <c r="B31" s="22">
        <v>2813279</v>
      </c>
      <c r="C31" s="27" t="s">
        <v>17</v>
      </c>
      <c r="D31" s="24" t="s">
        <v>45</v>
      </c>
      <c r="E31" s="28"/>
    </row>
    <row r="32" spans="1:5" x14ac:dyDescent="0.2">
      <c r="A32" s="26" t="s">
        <v>9</v>
      </c>
      <c r="B32" s="22">
        <v>2814141</v>
      </c>
      <c r="C32" s="27" t="s">
        <v>17</v>
      </c>
      <c r="D32" s="24" t="s">
        <v>46</v>
      </c>
      <c r="E32" s="28"/>
    </row>
    <row r="33" spans="1:5" x14ac:dyDescent="0.2">
      <c r="A33" s="18" t="s">
        <v>9</v>
      </c>
      <c r="B33" s="22">
        <v>2814142</v>
      </c>
      <c r="C33" s="27" t="s">
        <v>17</v>
      </c>
      <c r="D33" s="24" t="s">
        <v>47</v>
      </c>
      <c r="E33" s="28"/>
    </row>
    <row r="34" spans="1:5" x14ac:dyDescent="0.2">
      <c r="A34" s="18" t="s">
        <v>9</v>
      </c>
      <c r="B34" s="22">
        <v>2814143</v>
      </c>
      <c r="C34" s="27" t="s">
        <v>17</v>
      </c>
      <c r="D34" s="24" t="s">
        <v>48</v>
      </c>
      <c r="E34" s="28"/>
    </row>
    <row r="35" spans="1:5" x14ac:dyDescent="0.2">
      <c r="A35" s="18" t="s">
        <v>9</v>
      </c>
      <c r="B35" s="22">
        <v>2815118</v>
      </c>
      <c r="C35" s="27" t="s">
        <v>17</v>
      </c>
      <c r="D35" s="24" t="s">
        <v>49</v>
      </c>
      <c r="E35" s="28"/>
    </row>
    <row r="36" spans="1:5" x14ac:dyDescent="0.2">
      <c r="A36" s="18" t="s">
        <v>9</v>
      </c>
      <c r="B36" s="22">
        <v>2823511</v>
      </c>
      <c r="C36" s="27" t="s">
        <v>17</v>
      </c>
      <c r="D36" s="24" t="s">
        <v>50</v>
      </c>
      <c r="E36" s="28"/>
    </row>
    <row r="37" spans="1:5" x14ac:dyDescent="0.2">
      <c r="A37" s="18" t="s">
        <v>9</v>
      </c>
      <c r="B37" s="22">
        <v>2242039</v>
      </c>
      <c r="C37" s="27" t="s">
        <v>17</v>
      </c>
      <c r="D37" s="24" t="s">
        <v>51</v>
      </c>
      <c r="E37" s="28"/>
    </row>
    <row r="38" spans="1:5" x14ac:dyDescent="0.2">
      <c r="A38" s="18" t="s">
        <v>9</v>
      </c>
      <c r="B38" s="22">
        <v>2822203</v>
      </c>
      <c r="C38" s="27" t="s">
        <v>17</v>
      </c>
      <c r="D38" s="24" t="s">
        <v>52</v>
      </c>
      <c r="E38" s="28"/>
    </row>
    <row r="39" spans="1:5" x14ac:dyDescent="0.2">
      <c r="A39" s="18" t="s">
        <v>9</v>
      </c>
      <c r="B39" s="22">
        <v>2822312</v>
      </c>
      <c r="C39" s="27" t="s">
        <v>17</v>
      </c>
      <c r="D39" s="24" t="s">
        <v>53</v>
      </c>
      <c r="E39" s="28"/>
    </row>
    <row r="40" spans="1:5" x14ac:dyDescent="0.2">
      <c r="A40" s="18" t="s">
        <v>9</v>
      </c>
      <c r="B40" s="22">
        <v>2822639</v>
      </c>
      <c r="C40" s="27" t="s">
        <v>17</v>
      </c>
      <c r="D40" s="24" t="s">
        <v>54</v>
      </c>
      <c r="E40" s="28"/>
    </row>
    <row r="41" spans="1:5" x14ac:dyDescent="0.2">
      <c r="A41" s="18" t="s">
        <v>9</v>
      </c>
      <c r="B41" s="22">
        <v>2815117</v>
      </c>
      <c r="C41" s="27" t="s">
        <v>17</v>
      </c>
      <c r="D41" s="24" t="s">
        <v>55</v>
      </c>
      <c r="E41" s="28"/>
    </row>
    <row r="42" spans="1:5" x14ac:dyDescent="0.2">
      <c r="A42" s="18" t="s">
        <v>9</v>
      </c>
      <c r="B42" s="22">
        <v>2822310</v>
      </c>
      <c r="C42" s="27" t="s">
        <v>17</v>
      </c>
      <c r="D42" s="24" t="s">
        <v>56</v>
      </c>
      <c r="E42" s="28"/>
    </row>
    <row r="43" spans="1:5" x14ac:dyDescent="0.2">
      <c r="A43" s="18" t="s">
        <v>9</v>
      </c>
      <c r="B43" s="22">
        <v>2823512</v>
      </c>
      <c r="C43" s="27" t="s">
        <v>17</v>
      </c>
      <c r="D43" s="24" t="s">
        <v>57</v>
      </c>
      <c r="E43" s="28"/>
    </row>
    <row r="44" spans="1:5" x14ac:dyDescent="0.2">
      <c r="A44" s="18" t="s">
        <v>9</v>
      </c>
      <c r="B44" s="22">
        <v>2822454</v>
      </c>
      <c r="C44" s="27" t="s">
        <v>17</v>
      </c>
      <c r="D44" s="24" t="s">
        <v>58</v>
      </c>
      <c r="E44" s="28"/>
    </row>
    <row r="45" spans="1:5" x14ac:dyDescent="0.2">
      <c r="A45" s="18" t="s">
        <v>9</v>
      </c>
      <c r="B45" s="22">
        <v>2825479</v>
      </c>
      <c r="C45" s="27" t="s">
        <v>17</v>
      </c>
      <c r="D45" s="24" t="s">
        <v>59</v>
      </c>
      <c r="E45" s="28"/>
    </row>
    <row r="46" spans="1:5" x14ac:dyDescent="0.2">
      <c r="A46" s="18" t="s">
        <v>9</v>
      </c>
      <c r="B46" s="22">
        <v>2823289</v>
      </c>
      <c r="C46" s="27" t="s">
        <v>17</v>
      </c>
      <c r="D46" s="24" t="s">
        <v>60</v>
      </c>
      <c r="E46" s="28"/>
    </row>
    <row r="47" spans="1:5" x14ac:dyDescent="0.2">
      <c r="A47" s="18" t="s">
        <v>9</v>
      </c>
      <c r="B47" s="22">
        <v>2839044</v>
      </c>
      <c r="C47" s="27" t="s">
        <v>17</v>
      </c>
      <c r="D47" s="24" t="s">
        <v>61</v>
      </c>
      <c r="E47" s="28"/>
    </row>
    <row r="48" spans="1:5" x14ac:dyDescent="0.2">
      <c r="A48" s="18" t="s">
        <v>9</v>
      </c>
      <c r="B48" s="22">
        <v>2870084</v>
      </c>
      <c r="C48" s="30" t="s">
        <v>17</v>
      </c>
      <c r="D48" s="24" t="s">
        <v>62</v>
      </c>
      <c r="E48" s="28"/>
    </row>
    <row r="49" spans="1:5" x14ac:dyDescent="0.2">
      <c r="A49" s="18" t="s">
        <v>9</v>
      </c>
      <c r="B49" s="22">
        <v>2366891</v>
      </c>
      <c r="C49" s="30" t="s">
        <v>17</v>
      </c>
      <c r="D49" s="24" t="s">
        <v>63</v>
      </c>
      <c r="E49" s="28"/>
    </row>
    <row r="50" spans="1:5" x14ac:dyDescent="0.2">
      <c r="A50" s="18" t="s">
        <v>9</v>
      </c>
      <c r="B50" s="22">
        <v>2873068</v>
      </c>
      <c r="C50" s="30" t="s">
        <v>17</v>
      </c>
      <c r="D50" s="24" t="s">
        <v>64</v>
      </c>
      <c r="E50" s="28"/>
    </row>
    <row r="51" spans="1:5" x14ac:dyDescent="0.2">
      <c r="A51" s="18" t="s">
        <v>9</v>
      </c>
      <c r="B51" s="22">
        <v>2873073</v>
      </c>
      <c r="C51" s="30" t="s">
        <v>17</v>
      </c>
      <c r="D51" s="24" t="s">
        <v>65</v>
      </c>
      <c r="E51" s="28"/>
    </row>
    <row r="52" spans="1:5" x14ac:dyDescent="0.2">
      <c r="A52" s="18" t="s">
        <v>9</v>
      </c>
      <c r="B52" s="22">
        <v>2874006</v>
      </c>
      <c r="C52" s="30" t="s">
        <v>17</v>
      </c>
      <c r="D52" s="24" t="s">
        <v>66</v>
      </c>
      <c r="E52" s="28"/>
    </row>
    <row r="53" spans="1:5" x14ac:dyDescent="0.2">
      <c r="A53" s="18" t="s">
        <v>9</v>
      </c>
      <c r="B53" s="22">
        <v>2875042</v>
      </c>
      <c r="C53" s="30" t="s">
        <v>17</v>
      </c>
      <c r="D53" s="24" t="s">
        <v>67</v>
      </c>
      <c r="E53" s="28"/>
    </row>
    <row r="54" spans="1:5" x14ac:dyDescent="0.2">
      <c r="A54" s="18" t="s">
        <v>9</v>
      </c>
      <c r="B54" s="22">
        <v>2875043</v>
      </c>
      <c r="C54" s="30" t="s">
        <v>17</v>
      </c>
      <c r="D54" s="24" t="s">
        <v>68</v>
      </c>
      <c r="E54" s="28"/>
    </row>
    <row r="55" spans="1:5" x14ac:dyDescent="0.2">
      <c r="A55" s="18" t="s">
        <v>9</v>
      </c>
      <c r="B55" s="22">
        <v>2822030</v>
      </c>
      <c r="C55" s="30" t="s">
        <v>17</v>
      </c>
      <c r="D55" s="24" t="s">
        <v>69</v>
      </c>
      <c r="E55" s="28"/>
    </row>
    <row r="56" spans="1:5" x14ac:dyDescent="0.2">
      <c r="A56" s="18" t="s">
        <v>9</v>
      </c>
      <c r="B56" s="22">
        <v>2822392</v>
      </c>
      <c r="C56" s="27" t="s">
        <v>70</v>
      </c>
      <c r="D56" s="24" t="s">
        <v>71</v>
      </c>
      <c r="E56" s="28"/>
    </row>
    <row r="57" spans="1:5" x14ac:dyDescent="0.2">
      <c r="A57" s="18" t="s">
        <v>9</v>
      </c>
      <c r="B57" s="22">
        <v>2825161</v>
      </c>
      <c r="C57" s="27" t="s">
        <v>70</v>
      </c>
      <c r="D57" s="24" t="s">
        <v>72</v>
      </c>
      <c r="E57" s="28"/>
    </row>
    <row r="58" spans="1:5" x14ac:dyDescent="0.2">
      <c r="A58" s="18" t="s">
        <v>9</v>
      </c>
      <c r="B58" s="22">
        <v>580626</v>
      </c>
      <c r="C58" s="30" t="s">
        <v>70</v>
      </c>
      <c r="D58" s="24" t="s">
        <v>73</v>
      </c>
      <c r="E58" s="28"/>
    </row>
    <row r="59" spans="1:5" x14ac:dyDescent="0.2">
      <c r="A59" s="18" t="s">
        <v>9</v>
      </c>
      <c r="B59" s="22">
        <v>387349</v>
      </c>
      <c r="C59" s="30" t="s">
        <v>70</v>
      </c>
      <c r="D59" s="24" t="s">
        <v>74</v>
      </c>
      <c r="E59" s="28"/>
    </row>
    <row r="60" spans="1:5" x14ac:dyDescent="0.2">
      <c r="A60" s="18" t="s">
        <v>9</v>
      </c>
      <c r="B60" s="22">
        <v>737763</v>
      </c>
      <c r="C60" s="30" t="s">
        <v>70</v>
      </c>
      <c r="D60" s="24" t="s">
        <v>75</v>
      </c>
      <c r="E60" s="28"/>
    </row>
    <row r="61" spans="1:5" x14ac:dyDescent="0.2">
      <c r="A61" s="18" t="s">
        <v>9</v>
      </c>
      <c r="B61" s="22">
        <v>5010646</v>
      </c>
      <c r="C61" s="27" t="s">
        <v>76</v>
      </c>
      <c r="D61" s="24" t="s">
        <v>77</v>
      </c>
      <c r="E61" s="28"/>
    </row>
    <row r="62" spans="1:5" x14ac:dyDescent="0.2">
      <c r="A62" s="18" t="s">
        <v>9</v>
      </c>
      <c r="B62" s="22">
        <v>2802468</v>
      </c>
      <c r="C62" s="27" t="s">
        <v>76</v>
      </c>
      <c r="D62" s="24" t="s">
        <v>78</v>
      </c>
      <c r="E62" s="28"/>
    </row>
    <row r="63" spans="1:5" x14ac:dyDescent="0.2">
      <c r="A63" s="18" t="s">
        <v>9</v>
      </c>
      <c r="B63" s="22">
        <v>2825260</v>
      </c>
      <c r="C63" s="27" t="s">
        <v>76</v>
      </c>
      <c r="D63" s="24" t="s">
        <v>79</v>
      </c>
      <c r="E63" s="28"/>
    </row>
    <row r="64" spans="1:5" ht="17" x14ac:dyDescent="0.2">
      <c r="A64" s="18" t="s">
        <v>9</v>
      </c>
      <c r="B64" s="22">
        <v>564551</v>
      </c>
      <c r="C64" s="30" t="s">
        <v>76</v>
      </c>
      <c r="D64" s="24" t="s">
        <v>80</v>
      </c>
      <c r="E64" s="28"/>
    </row>
    <row r="65" spans="1:5" ht="17" x14ac:dyDescent="0.2">
      <c r="A65" s="18" t="s">
        <v>9</v>
      </c>
      <c r="B65" s="22">
        <v>2822683</v>
      </c>
      <c r="C65" s="30" t="s">
        <v>76</v>
      </c>
      <c r="D65" s="24" t="s">
        <v>81</v>
      </c>
      <c r="E65" s="28"/>
    </row>
    <row r="66" spans="1:5" ht="17" x14ac:dyDescent="0.2">
      <c r="A66" s="18" t="s">
        <v>9</v>
      </c>
      <c r="B66" s="22">
        <v>184923</v>
      </c>
      <c r="C66" s="27" t="s">
        <v>76</v>
      </c>
      <c r="D66" s="24" t="s">
        <v>82</v>
      </c>
      <c r="E66" s="28"/>
    </row>
    <row r="67" spans="1:5" ht="17" x14ac:dyDescent="0.2">
      <c r="A67" s="18" t="s">
        <v>9</v>
      </c>
      <c r="B67" s="22">
        <v>2849034</v>
      </c>
      <c r="C67" s="30" t="s">
        <v>76</v>
      </c>
      <c r="D67" s="24" t="s">
        <v>83</v>
      </c>
      <c r="E67" s="28"/>
    </row>
    <row r="68" spans="1:5" ht="17" x14ac:dyDescent="0.2">
      <c r="A68" s="18" t="s">
        <v>9</v>
      </c>
      <c r="B68" s="22">
        <v>2242041</v>
      </c>
      <c r="C68" s="30" t="s">
        <v>84</v>
      </c>
      <c r="D68" s="24" t="s">
        <v>85</v>
      </c>
      <c r="E68" s="28"/>
    </row>
    <row r="69" spans="1:5" ht="17" x14ac:dyDescent="0.2">
      <c r="A69" s="18" t="s">
        <v>9</v>
      </c>
      <c r="B69" s="22">
        <v>2244042</v>
      </c>
      <c r="C69" s="30" t="s">
        <v>84</v>
      </c>
      <c r="D69" s="24" t="s">
        <v>86</v>
      </c>
      <c r="E69" s="28"/>
    </row>
    <row r="70" spans="1:5" ht="17" x14ac:dyDescent="0.2">
      <c r="A70" s="18" t="s">
        <v>9</v>
      </c>
      <c r="B70" s="22">
        <v>2244043</v>
      </c>
      <c r="C70" s="30" t="s">
        <v>84</v>
      </c>
      <c r="D70" s="24" t="s">
        <v>87</v>
      </c>
      <c r="E70" s="28"/>
    </row>
    <row r="71" spans="1:5" ht="17" x14ac:dyDescent="0.2">
      <c r="A71" s="18" t="s">
        <v>9</v>
      </c>
      <c r="B71" s="22">
        <v>2805120</v>
      </c>
      <c r="C71" s="30" t="s">
        <v>84</v>
      </c>
      <c r="D71" s="24" t="s">
        <v>88</v>
      </c>
      <c r="E71" s="28"/>
    </row>
    <row r="72" spans="1:5" ht="17" x14ac:dyDescent="0.2">
      <c r="A72" s="18" t="s">
        <v>9</v>
      </c>
      <c r="B72" s="22">
        <v>2841516</v>
      </c>
      <c r="C72" s="30" t="s">
        <v>84</v>
      </c>
      <c r="D72" s="24" t="s">
        <v>89</v>
      </c>
      <c r="E72" s="28"/>
    </row>
    <row r="73" spans="1:5" ht="17" x14ac:dyDescent="0.2">
      <c r="A73" s="18" t="s">
        <v>9</v>
      </c>
      <c r="B73" s="22">
        <v>2801187</v>
      </c>
      <c r="C73" s="30" t="s">
        <v>84</v>
      </c>
      <c r="D73" s="24" t="s">
        <v>90</v>
      </c>
      <c r="E73" s="28"/>
    </row>
    <row r="74" spans="1:5" ht="17" x14ac:dyDescent="0.2">
      <c r="A74" s="18" t="s">
        <v>9</v>
      </c>
      <c r="B74" s="22">
        <v>2817221</v>
      </c>
      <c r="C74" s="30" t="s">
        <v>84</v>
      </c>
      <c r="D74" s="24" t="s">
        <v>91</v>
      </c>
      <c r="E74" s="28"/>
    </row>
    <row r="75" spans="1:5" ht="17" x14ac:dyDescent="0.2">
      <c r="A75" s="18" t="s">
        <v>9</v>
      </c>
      <c r="B75" s="22">
        <v>2853007</v>
      </c>
      <c r="C75" s="30" t="s">
        <v>84</v>
      </c>
      <c r="D75" s="24" t="s">
        <v>92</v>
      </c>
      <c r="E75" s="28"/>
    </row>
    <row r="76" spans="1:5" ht="17" x14ac:dyDescent="0.2">
      <c r="A76" s="18" t="s">
        <v>9</v>
      </c>
      <c r="B76" s="22">
        <v>2849188</v>
      </c>
      <c r="C76" s="30" t="s">
        <v>84</v>
      </c>
      <c r="D76" s="24" t="s">
        <v>93</v>
      </c>
      <c r="E76" s="28"/>
    </row>
    <row r="77" spans="1:5" ht="17" x14ac:dyDescent="0.2">
      <c r="A77" s="18" t="s">
        <v>9</v>
      </c>
      <c r="B77" s="22">
        <v>2281181</v>
      </c>
      <c r="C77" s="30" t="s">
        <v>84</v>
      </c>
      <c r="D77" s="24" t="s">
        <v>94</v>
      </c>
      <c r="E77" s="28"/>
    </row>
    <row r="78" spans="1:5" ht="17" x14ac:dyDescent="0.2">
      <c r="A78" s="18" t="s">
        <v>9</v>
      </c>
      <c r="B78" s="22">
        <v>2825740</v>
      </c>
      <c r="C78" s="30" t="s">
        <v>84</v>
      </c>
      <c r="D78" s="24" t="s">
        <v>95</v>
      </c>
      <c r="E78" s="28"/>
    </row>
    <row r="79" spans="1:5" ht="17" x14ac:dyDescent="0.2">
      <c r="A79" s="18" t="s">
        <v>9</v>
      </c>
      <c r="B79" s="22">
        <v>2833004</v>
      </c>
      <c r="C79" s="30" t="s">
        <v>84</v>
      </c>
      <c r="D79" s="24" t="s">
        <v>96</v>
      </c>
      <c r="E79" s="28"/>
    </row>
    <row r="80" spans="1:5" ht="17" x14ac:dyDescent="0.2">
      <c r="A80" s="18" t="s">
        <v>9</v>
      </c>
      <c r="B80" s="22">
        <v>2300009</v>
      </c>
      <c r="C80" s="30" t="s">
        <v>84</v>
      </c>
      <c r="D80" s="24" t="s">
        <v>97</v>
      </c>
      <c r="E80" s="28"/>
    </row>
    <row r="81" spans="1:5" ht="17" x14ac:dyDescent="0.2">
      <c r="A81" s="31" t="s">
        <v>98</v>
      </c>
      <c r="B81" s="19" t="s">
        <v>10</v>
      </c>
      <c r="C81" s="19" t="s">
        <v>11</v>
      </c>
      <c r="D81" s="21" t="s">
        <v>12</v>
      </c>
      <c r="E81" s="21" t="s">
        <v>13</v>
      </c>
    </row>
    <row r="82" spans="1:5" ht="17" x14ac:dyDescent="0.2">
      <c r="A82" s="31" t="s">
        <v>98</v>
      </c>
      <c r="B82" s="22">
        <v>689761</v>
      </c>
      <c r="C82" s="32" t="s">
        <v>14</v>
      </c>
      <c r="D82" s="25" t="s">
        <v>99</v>
      </c>
      <c r="E82" s="25" t="s">
        <v>100</v>
      </c>
    </row>
    <row r="83" spans="1:5" ht="17" x14ac:dyDescent="0.2">
      <c r="A83" s="31" t="s">
        <v>98</v>
      </c>
      <c r="B83" s="22">
        <v>2874005</v>
      </c>
      <c r="C83" s="33" t="s">
        <v>17</v>
      </c>
      <c r="D83" s="34" t="s">
        <v>101</v>
      </c>
      <c r="E83" s="25" t="str">
        <f>HYPERLINK("https://www.linkedin.com/learning/paths/master-in-demand-professional-soft-skills","Master In-Demand Professional Soft Skills")</f>
        <v>Master In-Demand Professional Soft Skills</v>
      </c>
    </row>
    <row r="84" spans="1:5" ht="17" x14ac:dyDescent="0.2">
      <c r="A84" s="31" t="s">
        <v>98</v>
      </c>
      <c r="B84" s="22">
        <v>2876024</v>
      </c>
      <c r="C84" s="33" t="s">
        <v>17</v>
      </c>
      <c r="D84" s="34" t="s">
        <v>102</v>
      </c>
      <c r="E84" s="25" t="str">
        <f>HYPERLINK("https://www.linkedin.com/learning/paths/manage-change-and-develop-your-adaptability-skills","Manage Change and Develop Your Adaptability Skills")</f>
        <v>Manage Change and Develop Your Adaptability Skills</v>
      </c>
    </row>
    <row r="85" spans="1:5" ht="17" x14ac:dyDescent="0.2">
      <c r="A85" s="31" t="s">
        <v>98</v>
      </c>
      <c r="B85" s="22">
        <v>2282149</v>
      </c>
      <c r="C85" s="33" t="s">
        <v>17</v>
      </c>
      <c r="D85" s="34" t="s">
        <v>103</v>
      </c>
      <c r="E85" s="25"/>
    </row>
    <row r="86" spans="1:5" ht="17" x14ac:dyDescent="0.2">
      <c r="A86" s="26" t="s">
        <v>98</v>
      </c>
      <c r="B86" s="22">
        <v>153123</v>
      </c>
      <c r="C86" s="32" t="s">
        <v>17</v>
      </c>
      <c r="D86" s="25" t="s">
        <v>104</v>
      </c>
      <c r="E86" s="18"/>
    </row>
    <row r="87" spans="1:5" ht="17" x14ac:dyDescent="0.2">
      <c r="A87" s="31" t="s">
        <v>98</v>
      </c>
      <c r="B87" s="22">
        <v>170777</v>
      </c>
      <c r="C87" s="27" t="s">
        <v>17</v>
      </c>
      <c r="D87" s="25" t="s">
        <v>19</v>
      </c>
      <c r="E87" s="28"/>
    </row>
    <row r="88" spans="1:5" ht="17" x14ac:dyDescent="0.2">
      <c r="A88" s="26" t="s">
        <v>98</v>
      </c>
      <c r="B88" s="22">
        <v>363225</v>
      </c>
      <c r="C88" s="32" t="s">
        <v>17</v>
      </c>
      <c r="D88" s="25" t="s">
        <v>105</v>
      </c>
      <c r="E88" s="28"/>
    </row>
    <row r="89" spans="1:5" ht="17" x14ac:dyDescent="0.2">
      <c r="A89" s="31" t="s">
        <v>98</v>
      </c>
      <c r="B89" s="22">
        <v>424116</v>
      </c>
      <c r="C89" s="32" t="s">
        <v>17</v>
      </c>
      <c r="D89" s="25" t="s">
        <v>106</v>
      </c>
      <c r="E89" s="28"/>
    </row>
    <row r="90" spans="1:5" ht="17" x14ac:dyDescent="0.2">
      <c r="A90" s="31" t="s">
        <v>98</v>
      </c>
      <c r="B90" s="22">
        <v>495346</v>
      </c>
      <c r="C90" s="32" t="s">
        <v>17</v>
      </c>
      <c r="D90" s="25" t="s">
        <v>107</v>
      </c>
      <c r="E90" s="28"/>
    </row>
    <row r="91" spans="1:5" ht="17" x14ac:dyDescent="0.2">
      <c r="A91" s="31" t="s">
        <v>98</v>
      </c>
      <c r="B91" s="22">
        <v>599597</v>
      </c>
      <c r="C91" s="32" t="s">
        <v>17</v>
      </c>
      <c r="D91" s="25" t="s">
        <v>36</v>
      </c>
      <c r="E91" s="28"/>
    </row>
    <row r="92" spans="1:5" ht="17" x14ac:dyDescent="0.2">
      <c r="A92" s="31" t="s">
        <v>98</v>
      </c>
      <c r="B92" s="22">
        <v>661749</v>
      </c>
      <c r="C92" s="32" t="s">
        <v>17</v>
      </c>
      <c r="D92" s="25" t="s">
        <v>33</v>
      </c>
      <c r="E92" s="28"/>
    </row>
    <row r="93" spans="1:5" ht="17" x14ac:dyDescent="0.2">
      <c r="A93" s="26" t="s">
        <v>98</v>
      </c>
      <c r="B93" s="22">
        <v>661751</v>
      </c>
      <c r="C93" s="32" t="s">
        <v>17</v>
      </c>
      <c r="D93" s="25" t="s">
        <v>22</v>
      </c>
      <c r="E93" s="28"/>
    </row>
    <row r="94" spans="1:5" ht="17" x14ac:dyDescent="0.2">
      <c r="A94" s="31" t="s">
        <v>98</v>
      </c>
      <c r="B94" s="22">
        <v>669533</v>
      </c>
      <c r="C94" s="27" t="s">
        <v>17</v>
      </c>
      <c r="D94" s="34" t="s">
        <v>38</v>
      </c>
      <c r="E94" s="28"/>
    </row>
    <row r="95" spans="1:5" ht="17" x14ac:dyDescent="0.2">
      <c r="A95" s="31" t="s">
        <v>98</v>
      </c>
      <c r="B95" s="22">
        <v>718618</v>
      </c>
      <c r="C95" s="32" t="s">
        <v>17</v>
      </c>
      <c r="D95" s="25" t="s">
        <v>25</v>
      </c>
      <c r="E95" s="28"/>
    </row>
    <row r="96" spans="1:5" ht="17" x14ac:dyDescent="0.2">
      <c r="A96" s="26" t="s">
        <v>98</v>
      </c>
      <c r="B96" s="22">
        <v>718628</v>
      </c>
      <c r="C96" s="32" t="s">
        <v>17</v>
      </c>
      <c r="D96" s="25" t="s">
        <v>108</v>
      </c>
      <c r="E96" s="28"/>
    </row>
    <row r="97" spans="1:5" ht="17" x14ac:dyDescent="0.2">
      <c r="A97" s="31" t="s">
        <v>98</v>
      </c>
      <c r="B97" s="22">
        <v>777381</v>
      </c>
      <c r="C97" s="32" t="s">
        <v>17</v>
      </c>
      <c r="D97" s="25" t="s">
        <v>20</v>
      </c>
      <c r="E97" s="28"/>
    </row>
    <row r="98" spans="1:5" ht="17" x14ac:dyDescent="0.2">
      <c r="A98" s="26" t="s">
        <v>98</v>
      </c>
      <c r="B98" s="22">
        <v>2807856</v>
      </c>
      <c r="C98" s="32" t="s">
        <v>17</v>
      </c>
      <c r="D98" s="25" t="s">
        <v>109</v>
      </c>
      <c r="E98" s="28"/>
    </row>
    <row r="99" spans="1:5" ht="17" x14ac:dyDescent="0.2">
      <c r="A99" s="26" t="s">
        <v>98</v>
      </c>
      <c r="B99" s="22">
        <v>2810626</v>
      </c>
      <c r="C99" s="27" t="s">
        <v>17</v>
      </c>
      <c r="D99" s="25" t="s">
        <v>110</v>
      </c>
      <c r="E99" s="28"/>
    </row>
    <row r="100" spans="1:5" ht="17" x14ac:dyDescent="0.2">
      <c r="A100" s="26" t="s">
        <v>98</v>
      </c>
      <c r="B100" s="22">
        <v>2811712</v>
      </c>
      <c r="C100" s="32" t="s">
        <v>17</v>
      </c>
      <c r="D100" s="25" t="s">
        <v>111</v>
      </c>
      <c r="E100" s="28"/>
    </row>
    <row r="101" spans="1:5" ht="17" x14ac:dyDescent="0.2">
      <c r="A101" s="31" t="s">
        <v>98</v>
      </c>
      <c r="B101" s="22">
        <v>2811713</v>
      </c>
      <c r="C101" s="27" t="s">
        <v>17</v>
      </c>
      <c r="D101" s="25" t="s">
        <v>112</v>
      </c>
      <c r="E101" s="28"/>
    </row>
    <row r="102" spans="1:5" ht="17" x14ac:dyDescent="0.2">
      <c r="A102" s="31" t="s">
        <v>98</v>
      </c>
      <c r="B102" s="22">
        <v>2812532</v>
      </c>
      <c r="C102" s="32" t="s">
        <v>17</v>
      </c>
      <c r="D102" s="25" t="s">
        <v>113</v>
      </c>
      <c r="E102" s="28"/>
    </row>
    <row r="103" spans="1:5" ht="17" x14ac:dyDescent="0.2">
      <c r="A103" s="31" t="s">
        <v>98</v>
      </c>
      <c r="B103" s="22">
        <v>2815157</v>
      </c>
      <c r="C103" s="32" t="s">
        <v>17</v>
      </c>
      <c r="D103" s="25" t="s">
        <v>114</v>
      </c>
      <c r="E103" s="28"/>
    </row>
    <row r="104" spans="1:5" ht="17" x14ac:dyDescent="0.2">
      <c r="A104" s="31" t="s">
        <v>98</v>
      </c>
      <c r="B104" s="22">
        <v>2822310</v>
      </c>
      <c r="C104" s="32" t="s">
        <v>17</v>
      </c>
      <c r="D104" s="25" t="s">
        <v>56</v>
      </c>
      <c r="E104" s="28"/>
    </row>
    <row r="105" spans="1:5" ht="17" x14ac:dyDescent="0.2">
      <c r="A105" s="31" t="s">
        <v>98</v>
      </c>
      <c r="B105" s="22">
        <v>2823252</v>
      </c>
      <c r="C105" s="32" t="s">
        <v>17</v>
      </c>
      <c r="D105" s="25" t="s">
        <v>115</v>
      </c>
      <c r="E105" s="28"/>
    </row>
    <row r="106" spans="1:5" ht="17" x14ac:dyDescent="0.2">
      <c r="A106" s="31" t="s">
        <v>98</v>
      </c>
      <c r="B106" s="22">
        <v>5015862</v>
      </c>
      <c r="C106" s="32" t="s">
        <v>17</v>
      </c>
      <c r="D106" s="25" t="s">
        <v>116</v>
      </c>
      <c r="E106" s="28"/>
    </row>
    <row r="107" spans="1:5" ht="17" x14ac:dyDescent="0.2">
      <c r="A107" s="31" t="s">
        <v>98</v>
      </c>
      <c r="B107" s="22">
        <v>2835068</v>
      </c>
      <c r="C107" s="33" t="s">
        <v>70</v>
      </c>
      <c r="D107" s="34" t="s">
        <v>117</v>
      </c>
      <c r="E107" s="28"/>
    </row>
    <row r="108" spans="1:5" ht="17" x14ac:dyDescent="0.2">
      <c r="A108" s="31" t="s">
        <v>98</v>
      </c>
      <c r="B108" s="22">
        <v>2871163</v>
      </c>
      <c r="C108" s="33" t="s">
        <v>70</v>
      </c>
      <c r="D108" s="34" t="s">
        <v>118</v>
      </c>
      <c r="E108" s="28"/>
    </row>
    <row r="109" spans="1:5" ht="17" x14ac:dyDescent="0.2">
      <c r="A109" s="31" t="s">
        <v>98</v>
      </c>
      <c r="B109" s="22">
        <v>2815033</v>
      </c>
      <c r="C109" s="27" t="s">
        <v>70</v>
      </c>
      <c r="D109" s="25" t="s">
        <v>119</v>
      </c>
      <c r="E109" s="28"/>
    </row>
    <row r="110" spans="1:5" ht="17" x14ac:dyDescent="0.2">
      <c r="A110" s="31" t="s">
        <v>98</v>
      </c>
      <c r="B110" s="22">
        <v>387349</v>
      </c>
      <c r="C110" s="33" t="s">
        <v>70</v>
      </c>
      <c r="D110" s="25" t="s">
        <v>74</v>
      </c>
      <c r="E110" s="28"/>
    </row>
    <row r="111" spans="1:5" ht="17" x14ac:dyDescent="0.2">
      <c r="A111" s="31" t="s">
        <v>98</v>
      </c>
      <c r="B111" s="22">
        <v>515156</v>
      </c>
      <c r="C111" s="33" t="s">
        <v>70</v>
      </c>
      <c r="D111" s="25" t="s">
        <v>120</v>
      </c>
      <c r="E111" s="28"/>
    </row>
    <row r="112" spans="1:5" ht="17" x14ac:dyDescent="0.2">
      <c r="A112" s="31" t="s">
        <v>98</v>
      </c>
      <c r="B112" s="22">
        <v>622050</v>
      </c>
      <c r="C112" s="33" t="s">
        <v>70</v>
      </c>
      <c r="D112" s="25" t="s">
        <v>121</v>
      </c>
      <c r="E112" s="28"/>
    </row>
    <row r="113" spans="1:5" ht="17" x14ac:dyDescent="0.2">
      <c r="A113" s="31" t="s">
        <v>98</v>
      </c>
      <c r="B113" s="22">
        <v>659269</v>
      </c>
      <c r="C113" s="33" t="s">
        <v>70</v>
      </c>
      <c r="D113" s="25" t="s">
        <v>122</v>
      </c>
      <c r="E113" s="28"/>
    </row>
    <row r="114" spans="1:5" ht="17" x14ac:dyDescent="0.2">
      <c r="A114" s="31" t="s">
        <v>98</v>
      </c>
      <c r="B114" s="22">
        <v>2242043</v>
      </c>
      <c r="C114" s="33" t="s">
        <v>84</v>
      </c>
      <c r="D114" s="25" t="s">
        <v>123</v>
      </c>
      <c r="E114" s="28"/>
    </row>
    <row r="115" spans="1:5" ht="17" x14ac:dyDescent="0.2">
      <c r="A115" s="31" t="s">
        <v>98</v>
      </c>
      <c r="B115" s="22">
        <v>2834040</v>
      </c>
      <c r="C115" s="33" t="s">
        <v>84</v>
      </c>
      <c r="D115" s="25" t="s">
        <v>124</v>
      </c>
      <c r="E115" s="28"/>
    </row>
    <row r="116" spans="1:5" ht="17" x14ac:dyDescent="0.2">
      <c r="A116" s="26" t="s">
        <v>98</v>
      </c>
      <c r="B116" s="22">
        <v>2824219</v>
      </c>
      <c r="C116" s="33" t="s">
        <v>84</v>
      </c>
      <c r="D116" s="25" t="s">
        <v>125</v>
      </c>
      <c r="E116" s="28"/>
    </row>
    <row r="117" spans="1:5" ht="17" x14ac:dyDescent="0.2">
      <c r="A117" s="26" t="s">
        <v>98</v>
      </c>
      <c r="B117" s="22">
        <v>2841516</v>
      </c>
      <c r="C117" s="33" t="s">
        <v>84</v>
      </c>
      <c r="D117" s="24" t="s">
        <v>89</v>
      </c>
      <c r="E117" s="28"/>
    </row>
    <row r="118" spans="1:5" ht="17" x14ac:dyDescent="0.2">
      <c r="A118" s="31" t="s">
        <v>98</v>
      </c>
      <c r="B118" s="22">
        <v>2805117</v>
      </c>
      <c r="C118" s="33" t="s">
        <v>84</v>
      </c>
      <c r="D118" s="25" t="s">
        <v>126</v>
      </c>
      <c r="E118" s="28"/>
    </row>
    <row r="119" spans="1:5" ht="17" x14ac:dyDescent="0.2">
      <c r="A119" s="31" t="s">
        <v>98</v>
      </c>
      <c r="B119" s="22">
        <v>2823579</v>
      </c>
      <c r="C119" s="33" t="s">
        <v>84</v>
      </c>
      <c r="D119" s="34" t="s">
        <v>127</v>
      </c>
      <c r="E119" s="28"/>
    </row>
    <row r="120" spans="1:5" ht="17" x14ac:dyDescent="0.2">
      <c r="A120" s="31" t="s">
        <v>98</v>
      </c>
      <c r="B120" s="22">
        <v>2849188</v>
      </c>
      <c r="C120" s="33" t="s">
        <v>84</v>
      </c>
      <c r="D120" s="34" t="s">
        <v>93</v>
      </c>
      <c r="E120" s="28"/>
    </row>
    <row r="121" spans="1:5" ht="17" x14ac:dyDescent="0.2">
      <c r="A121" s="31" t="s">
        <v>98</v>
      </c>
      <c r="B121" s="22">
        <v>456826</v>
      </c>
      <c r="C121" s="32" t="s">
        <v>76</v>
      </c>
      <c r="D121" s="25" t="s">
        <v>128</v>
      </c>
      <c r="E121" s="28"/>
    </row>
    <row r="122" spans="1:5" ht="17" x14ac:dyDescent="0.2">
      <c r="A122" s="31" t="s">
        <v>98</v>
      </c>
      <c r="B122" s="22">
        <v>520220</v>
      </c>
      <c r="C122" s="32" t="s">
        <v>76</v>
      </c>
      <c r="D122" s="25" t="s">
        <v>129</v>
      </c>
      <c r="E122" s="28"/>
    </row>
    <row r="123" spans="1:5" ht="17" x14ac:dyDescent="0.2">
      <c r="A123" s="31" t="s">
        <v>98</v>
      </c>
      <c r="B123" s="22">
        <v>580624</v>
      </c>
      <c r="C123" s="32" t="s">
        <v>76</v>
      </c>
      <c r="D123" s="25" t="s">
        <v>130</v>
      </c>
      <c r="E123" s="28"/>
    </row>
    <row r="124" spans="1:5" ht="17" x14ac:dyDescent="0.2">
      <c r="A124" s="31" t="s">
        <v>98</v>
      </c>
      <c r="B124" s="22">
        <v>622051</v>
      </c>
      <c r="C124" s="32" t="s">
        <v>76</v>
      </c>
      <c r="D124" s="25" t="s">
        <v>131</v>
      </c>
      <c r="E124" s="28"/>
    </row>
    <row r="125" spans="1:5" ht="17" x14ac:dyDescent="0.2">
      <c r="A125" s="31" t="s">
        <v>98</v>
      </c>
      <c r="B125" s="22">
        <v>636110</v>
      </c>
      <c r="C125" s="32" t="s">
        <v>76</v>
      </c>
      <c r="D125" s="34" t="s">
        <v>132</v>
      </c>
      <c r="E125" s="28"/>
    </row>
    <row r="126" spans="1:5" ht="17" x14ac:dyDescent="0.2">
      <c r="A126" s="31" t="s">
        <v>98</v>
      </c>
      <c r="B126" s="22">
        <v>699331</v>
      </c>
      <c r="C126" s="32" t="s">
        <v>76</v>
      </c>
      <c r="D126" s="25" t="s">
        <v>133</v>
      </c>
      <c r="E126" s="28"/>
    </row>
    <row r="127" spans="1:5" ht="17" x14ac:dyDescent="0.2">
      <c r="A127" s="31" t="s">
        <v>98</v>
      </c>
      <c r="B127" s="22">
        <v>711796</v>
      </c>
      <c r="C127" s="32" t="s">
        <v>76</v>
      </c>
      <c r="D127" s="25" t="s">
        <v>134</v>
      </c>
      <c r="E127" s="28"/>
    </row>
    <row r="128" spans="1:5" ht="17" x14ac:dyDescent="0.2">
      <c r="A128" s="31" t="s">
        <v>98</v>
      </c>
      <c r="B128" s="22">
        <v>753898</v>
      </c>
      <c r="C128" s="32" t="s">
        <v>76</v>
      </c>
      <c r="D128" s="25" t="s">
        <v>135</v>
      </c>
      <c r="E128" s="28"/>
    </row>
    <row r="129" spans="1:5" ht="17" x14ac:dyDescent="0.2">
      <c r="A129" s="31" t="s">
        <v>98</v>
      </c>
      <c r="B129" s="22">
        <v>753899</v>
      </c>
      <c r="C129" s="32" t="s">
        <v>76</v>
      </c>
      <c r="D129" s="25" t="s">
        <v>136</v>
      </c>
      <c r="E129" s="28"/>
    </row>
    <row r="130" spans="1:5" ht="17" x14ac:dyDescent="0.2">
      <c r="A130" s="31" t="s">
        <v>98</v>
      </c>
      <c r="B130" s="22">
        <v>794117</v>
      </c>
      <c r="C130" s="32" t="s">
        <v>76</v>
      </c>
      <c r="D130" s="25" t="s">
        <v>137</v>
      </c>
      <c r="E130" s="28"/>
    </row>
    <row r="131" spans="1:5" ht="17" x14ac:dyDescent="0.2">
      <c r="A131" s="31" t="s">
        <v>98</v>
      </c>
      <c r="B131" s="22">
        <v>2802464</v>
      </c>
      <c r="C131" s="32" t="s">
        <v>76</v>
      </c>
      <c r="D131" s="34" t="s">
        <v>138</v>
      </c>
      <c r="E131" s="28"/>
    </row>
    <row r="132" spans="1:5" ht="17" x14ac:dyDescent="0.2">
      <c r="A132" s="31" t="s">
        <v>98</v>
      </c>
      <c r="B132" s="22">
        <v>5022327</v>
      </c>
      <c r="C132" s="32" t="s">
        <v>76</v>
      </c>
      <c r="D132" s="34" t="s">
        <v>139</v>
      </c>
      <c r="E132" s="28"/>
    </row>
    <row r="133" spans="1:5" ht="17" x14ac:dyDescent="0.2">
      <c r="A133" s="35" t="s">
        <v>140</v>
      </c>
      <c r="B133" s="36" t="s">
        <v>10</v>
      </c>
      <c r="C133" s="36" t="s">
        <v>11</v>
      </c>
      <c r="D133" s="37" t="s">
        <v>12</v>
      </c>
      <c r="E133" s="37" t="s">
        <v>13</v>
      </c>
    </row>
    <row r="134" spans="1:5" ht="17" x14ac:dyDescent="0.2">
      <c r="A134" s="35" t="s">
        <v>140</v>
      </c>
      <c r="B134" s="38">
        <v>574670</v>
      </c>
      <c r="C134" s="39" t="s">
        <v>14</v>
      </c>
      <c r="D134" s="40" t="s">
        <v>141</v>
      </c>
      <c r="E134" s="40" t="s">
        <v>142</v>
      </c>
    </row>
    <row r="135" spans="1:5" ht="17" x14ac:dyDescent="0.2">
      <c r="A135" s="35" t="s">
        <v>140</v>
      </c>
      <c r="B135" s="38">
        <v>2974167</v>
      </c>
      <c r="C135" s="41" t="s">
        <v>17</v>
      </c>
      <c r="D135" s="42" t="s">
        <v>143</v>
      </c>
      <c r="E135" s="40" t="s">
        <v>144</v>
      </c>
    </row>
    <row r="136" spans="1:5" ht="17" x14ac:dyDescent="0.2">
      <c r="A136" s="35" t="s">
        <v>140</v>
      </c>
      <c r="B136" s="38">
        <v>647657</v>
      </c>
      <c r="C136" s="41" t="s">
        <v>17</v>
      </c>
      <c r="D136" s="40" t="s">
        <v>145</v>
      </c>
      <c r="E136" s="40" t="s">
        <v>146</v>
      </c>
    </row>
    <row r="137" spans="1:5" ht="17" x14ac:dyDescent="0.2">
      <c r="A137" s="35" t="s">
        <v>140</v>
      </c>
      <c r="B137" s="38">
        <v>427474</v>
      </c>
      <c r="C137" s="41" t="s">
        <v>17</v>
      </c>
      <c r="D137" s="40" t="s">
        <v>147</v>
      </c>
      <c r="E137" s="40" t="s">
        <v>148</v>
      </c>
    </row>
    <row r="138" spans="1:5" ht="17" x14ac:dyDescent="0.2">
      <c r="A138" s="35" t="s">
        <v>140</v>
      </c>
      <c r="B138" s="38">
        <v>633843</v>
      </c>
      <c r="C138" s="41" t="s">
        <v>17</v>
      </c>
      <c r="D138" s="40" t="s">
        <v>149</v>
      </c>
      <c r="E138" s="40" t="str">
        <f>HYPERLINK("https://www.linkedin.com/learning/paths/fostering-collaboration","Fostering Collaboration")</f>
        <v>Fostering Collaboration</v>
      </c>
    </row>
    <row r="139" spans="1:5" ht="17" x14ac:dyDescent="0.2">
      <c r="A139" s="35" t="s">
        <v>140</v>
      </c>
      <c r="B139" s="38">
        <v>784280</v>
      </c>
      <c r="C139" s="39" t="s">
        <v>17</v>
      </c>
      <c r="D139" s="40" t="s">
        <v>150</v>
      </c>
      <c r="E139" s="43"/>
    </row>
    <row r="140" spans="1:5" ht="17" x14ac:dyDescent="0.2">
      <c r="A140" s="44" t="s">
        <v>140</v>
      </c>
      <c r="B140" s="38">
        <v>456353</v>
      </c>
      <c r="C140" s="41" t="s">
        <v>17</v>
      </c>
      <c r="D140" s="40" t="s">
        <v>151</v>
      </c>
      <c r="E140" s="28"/>
    </row>
    <row r="141" spans="1:5" ht="17" x14ac:dyDescent="0.2">
      <c r="A141" s="35" t="s">
        <v>140</v>
      </c>
      <c r="B141" s="38">
        <v>758616</v>
      </c>
      <c r="C141" s="39" t="s">
        <v>17</v>
      </c>
      <c r="D141" s="40" t="s">
        <v>152</v>
      </c>
      <c r="E141" s="1"/>
    </row>
    <row r="142" spans="1:5" ht="17" x14ac:dyDescent="0.2">
      <c r="A142" s="35" t="s">
        <v>140</v>
      </c>
      <c r="B142" s="38">
        <v>2243047</v>
      </c>
      <c r="C142" s="41" t="s">
        <v>17</v>
      </c>
      <c r="D142" s="42" t="s">
        <v>153</v>
      </c>
      <c r="E142" s="28"/>
    </row>
    <row r="143" spans="1:5" ht="17" x14ac:dyDescent="0.2">
      <c r="A143" s="35" t="s">
        <v>140</v>
      </c>
      <c r="B143" s="38">
        <v>2813307</v>
      </c>
      <c r="C143" s="41" t="s">
        <v>17</v>
      </c>
      <c r="D143" s="42" t="s">
        <v>154</v>
      </c>
      <c r="E143" s="1"/>
    </row>
    <row r="144" spans="1:5" ht="17" x14ac:dyDescent="0.2">
      <c r="A144" s="35" t="s">
        <v>140</v>
      </c>
      <c r="B144" s="38">
        <v>2823297</v>
      </c>
      <c r="C144" s="41" t="s">
        <v>17</v>
      </c>
      <c r="D144" s="42" t="s">
        <v>155</v>
      </c>
      <c r="E144" s="45"/>
    </row>
    <row r="145" spans="1:5" ht="17" x14ac:dyDescent="0.2">
      <c r="A145" s="35" t="s">
        <v>140</v>
      </c>
      <c r="B145" s="38">
        <v>2825337</v>
      </c>
      <c r="C145" s="41" t="s">
        <v>17</v>
      </c>
      <c r="D145" s="42" t="s">
        <v>156</v>
      </c>
      <c r="E145" s="46"/>
    </row>
    <row r="146" spans="1:5" ht="17" x14ac:dyDescent="0.2">
      <c r="A146" s="35" t="s">
        <v>140</v>
      </c>
      <c r="B146" s="38">
        <v>2825376</v>
      </c>
      <c r="C146" s="41" t="s">
        <v>17</v>
      </c>
      <c r="D146" s="42" t="s">
        <v>157</v>
      </c>
      <c r="E146" s="46"/>
    </row>
    <row r="147" spans="1:5" ht="17" x14ac:dyDescent="0.2">
      <c r="A147" s="35" t="s">
        <v>140</v>
      </c>
      <c r="B147" s="38">
        <v>2822314</v>
      </c>
      <c r="C147" s="41" t="s">
        <v>17</v>
      </c>
      <c r="D147" s="42" t="s">
        <v>158</v>
      </c>
      <c r="E147" s="46"/>
    </row>
    <row r="148" spans="1:5" ht="17" x14ac:dyDescent="0.2">
      <c r="A148" s="35" t="s">
        <v>140</v>
      </c>
      <c r="B148" s="38">
        <v>2823255</v>
      </c>
      <c r="C148" s="41" t="s">
        <v>17</v>
      </c>
      <c r="D148" s="42" t="s">
        <v>159</v>
      </c>
      <c r="E148" s="46"/>
    </row>
    <row r="149" spans="1:5" ht="17" x14ac:dyDescent="0.2">
      <c r="A149" s="35" t="s">
        <v>140</v>
      </c>
      <c r="B149" s="38">
        <v>2823195</v>
      </c>
      <c r="C149" s="41" t="s">
        <v>17</v>
      </c>
      <c r="D149" s="42" t="s">
        <v>160</v>
      </c>
      <c r="E149" s="46"/>
    </row>
    <row r="150" spans="1:5" ht="17" x14ac:dyDescent="0.2">
      <c r="A150" s="35" t="s">
        <v>140</v>
      </c>
      <c r="B150" s="38">
        <v>2825494</v>
      </c>
      <c r="C150" s="41" t="s">
        <v>17</v>
      </c>
      <c r="D150" s="42" t="s">
        <v>161</v>
      </c>
      <c r="E150" s="46"/>
    </row>
    <row r="151" spans="1:5" ht="17" x14ac:dyDescent="0.2">
      <c r="A151" s="35" t="s">
        <v>140</v>
      </c>
      <c r="B151" s="38">
        <v>2846053</v>
      </c>
      <c r="C151" s="41" t="s">
        <v>17</v>
      </c>
      <c r="D151" s="42" t="s">
        <v>162</v>
      </c>
      <c r="E151" s="46"/>
    </row>
    <row r="152" spans="1:5" ht="17" x14ac:dyDescent="0.2">
      <c r="A152" s="35" t="s">
        <v>140</v>
      </c>
      <c r="B152" s="38">
        <v>5034159</v>
      </c>
      <c r="C152" s="41" t="s">
        <v>70</v>
      </c>
      <c r="D152" s="40" t="s">
        <v>163</v>
      </c>
      <c r="E152" s="46"/>
    </row>
    <row r="153" spans="1:5" ht="17" x14ac:dyDescent="0.2">
      <c r="A153" s="35" t="s">
        <v>140</v>
      </c>
      <c r="B153" s="38">
        <v>2825332</v>
      </c>
      <c r="C153" s="41" t="s">
        <v>70</v>
      </c>
      <c r="D153" s="42" t="s">
        <v>164</v>
      </c>
      <c r="E153" s="46"/>
    </row>
    <row r="154" spans="1:5" ht="17" x14ac:dyDescent="0.2">
      <c r="A154" s="35" t="s">
        <v>140</v>
      </c>
      <c r="B154" s="38">
        <v>802842</v>
      </c>
      <c r="C154" s="47" t="s">
        <v>70</v>
      </c>
      <c r="D154" s="40" t="s">
        <v>165</v>
      </c>
      <c r="E154" s="46"/>
    </row>
    <row r="155" spans="1:5" ht="17" x14ac:dyDescent="0.2">
      <c r="A155" s="35" t="s">
        <v>140</v>
      </c>
      <c r="B155" s="38">
        <v>661750</v>
      </c>
      <c r="C155" s="47" t="s">
        <v>70</v>
      </c>
      <c r="D155" s="40" t="s">
        <v>166</v>
      </c>
      <c r="E155" s="46"/>
    </row>
    <row r="156" spans="1:5" ht="17" x14ac:dyDescent="0.2">
      <c r="A156" s="35" t="s">
        <v>140</v>
      </c>
      <c r="B156" s="38">
        <v>746304</v>
      </c>
      <c r="C156" s="47" t="s">
        <v>70</v>
      </c>
      <c r="D156" s="40" t="s">
        <v>167</v>
      </c>
      <c r="E156" s="46"/>
    </row>
    <row r="157" spans="1:5" ht="17" x14ac:dyDescent="0.2">
      <c r="A157" s="35" t="s">
        <v>140</v>
      </c>
      <c r="B157" s="38">
        <v>5028615</v>
      </c>
      <c r="C157" s="47" t="s">
        <v>70</v>
      </c>
      <c r="D157" s="40" t="s">
        <v>168</v>
      </c>
      <c r="E157" s="46"/>
    </row>
    <row r="158" spans="1:5" ht="17" x14ac:dyDescent="0.2">
      <c r="A158" s="35" t="s">
        <v>140</v>
      </c>
      <c r="B158" s="38">
        <v>688508</v>
      </c>
      <c r="C158" s="47" t="s">
        <v>70</v>
      </c>
      <c r="D158" s="40" t="s">
        <v>169</v>
      </c>
      <c r="E158" s="35"/>
    </row>
    <row r="159" spans="1:5" ht="17" x14ac:dyDescent="0.2">
      <c r="A159" s="35" t="s">
        <v>140</v>
      </c>
      <c r="B159" s="38">
        <v>661748</v>
      </c>
      <c r="C159" s="47" t="s">
        <v>70</v>
      </c>
      <c r="D159" s="40" t="s">
        <v>170</v>
      </c>
      <c r="E159" s="46"/>
    </row>
    <row r="160" spans="1:5" ht="17" x14ac:dyDescent="0.2">
      <c r="A160" s="35" t="s">
        <v>140</v>
      </c>
      <c r="B160" s="38">
        <v>2244039</v>
      </c>
      <c r="C160" s="47" t="s">
        <v>84</v>
      </c>
      <c r="D160" s="42" t="s">
        <v>171</v>
      </c>
      <c r="E160" s="46"/>
    </row>
    <row r="161" spans="1:5" ht="17" x14ac:dyDescent="0.2">
      <c r="A161" s="35" t="s">
        <v>140</v>
      </c>
      <c r="B161" s="38">
        <v>2241058</v>
      </c>
      <c r="C161" s="47" t="s">
        <v>84</v>
      </c>
      <c r="D161" s="42" t="s">
        <v>172</v>
      </c>
      <c r="E161" s="46"/>
    </row>
    <row r="162" spans="1:5" ht="17" x14ac:dyDescent="0.2">
      <c r="A162" s="35" t="s">
        <v>140</v>
      </c>
      <c r="B162" s="38">
        <v>2837262</v>
      </c>
      <c r="C162" s="47" t="s">
        <v>84</v>
      </c>
      <c r="D162" s="42" t="s">
        <v>173</v>
      </c>
      <c r="E162" s="46"/>
    </row>
    <row r="163" spans="1:5" ht="17" x14ac:dyDescent="0.2">
      <c r="A163" s="35" t="s">
        <v>140</v>
      </c>
      <c r="B163" s="38">
        <v>2825695</v>
      </c>
      <c r="C163" s="47" t="s">
        <v>84</v>
      </c>
      <c r="D163" s="42" t="s">
        <v>174</v>
      </c>
      <c r="E163" s="46"/>
    </row>
    <row r="164" spans="1:5" ht="17" x14ac:dyDescent="0.2">
      <c r="A164" s="35" t="s">
        <v>140</v>
      </c>
      <c r="B164" s="38">
        <v>2848250</v>
      </c>
      <c r="C164" s="47" t="s">
        <v>84</v>
      </c>
      <c r="D164" s="48" t="s">
        <v>175</v>
      </c>
      <c r="E164" s="46"/>
    </row>
    <row r="165" spans="1:5" ht="17" x14ac:dyDescent="0.2">
      <c r="A165" s="35" t="s">
        <v>140</v>
      </c>
      <c r="B165" s="22">
        <v>2835113</v>
      </c>
      <c r="C165" s="33" t="s">
        <v>84</v>
      </c>
      <c r="D165" s="25" t="s">
        <v>176</v>
      </c>
      <c r="E165" s="46"/>
    </row>
    <row r="166" spans="1:5" ht="17" x14ac:dyDescent="0.2">
      <c r="A166" s="35" t="s">
        <v>140</v>
      </c>
      <c r="B166" s="22">
        <v>2848239</v>
      </c>
      <c r="C166" s="33" t="s">
        <v>84</v>
      </c>
      <c r="D166" s="25" t="s">
        <v>177</v>
      </c>
      <c r="E166" s="46"/>
    </row>
    <row r="167" spans="1:5" ht="17" x14ac:dyDescent="0.2">
      <c r="A167" s="35" t="s">
        <v>140</v>
      </c>
      <c r="B167" s="22">
        <v>2828008</v>
      </c>
      <c r="C167" s="33" t="s">
        <v>76</v>
      </c>
      <c r="D167" s="25" t="s">
        <v>178</v>
      </c>
      <c r="E167" s="28"/>
    </row>
    <row r="168" spans="1:5" ht="17" x14ac:dyDescent="0.2">
      <c r="A168" s="35" t="s">
        <v>140</v>
      </c>
      <c r="B168" s="38">
        <v>167028</v>
      </c>
      <c r="C168" s="41" t="s">
        <v>76</v>
      </c>
      <c r="D168" s="40" t="s">
        <v>179</v>
      </c>
      <c r="E168" s="46"/>
    </row>
    <row r="169" spans="1:5" ht="17" x14ac:dyDescent="0.2">
      <c r="A169" s="35" t="s">
        <v>140</v>
      </c>
      <c r="B169" s="38">
        <v>737756</v>
      </c>
      <c r="C169" s="41" t="s">
        <v>76</v>
      </c>
      <c r="D169" s="40" t="s">
        <v>180</v>
      </c>
      <c r="E169" s="46"/>
    </row>
    <row r="170" spans="1:5" ht="17" x14ac:dyDescent="0.2">
      <c r="A170" s="35" t="s">
        <v>140</v>
      </c>
      <c r="B170" s="38">
        <v>718627</v>
      </c>
      <c r="C170" s="41" t="s">
        <v>76</v>
      </c>
      <c r="D170" s="40" t="s">
        <v>181</v>
      </c>
      <c r="E170" s="46"/>
    </row>
    <row r="171" spans="1:5" ht="17" x14ac:dyDescent="0.2">
      <c r="A171" s="35" t="s">
        <v>140</v>
      </c>
      <c r="B171" s="38">
        <v>656781</v>
      </c>
      <c r="C171" s="41" t="s">
        <v>76</v>
      </c>
      <c r="D171" s="40" t="s">
        <v>182</v>
      </c>
      <c r="E171" s="46"/>
    </row>
    <row r="172" spans="1:5" ht="17" x14ac:dyDescent="0.2">
      <c r="A172" s="35" t="s">
        <v>140</v>
      </c>
      <c r="B172" s="38">
        <v>175129</v>
      </c>
      <c r="C172" s="41" t="s">
        <v>76</v>
      </c>
      <c r="D172" s="40" t="s">
        <v>183</v>
      </c>
      <c r="E172" s="46"/>
    </row>
    <row r="173" spans="1:5" ht="17" x14ac:dyDescent="0.2">
      <c r="A173" s="35" t="s">
        <v>140</v>
      </c>
      <c r="B173" s="38">
        <v>659267</v>
      </c>
      <c r="C173" s="41" t="s">
        <v>76</v>
      </c>
      <c r="D173" s="40" t="s">
        <v>184</v>
      </c>
      <c r="E173" s="46"/>
    </row>
    <row r="174" spans="1:5" ht="17" x14ac:dyDescent="0.2">
      <c r="A174" s="35" t="s">
        <v>140</v>
      </c>
      <c r="B174" s="38">
        <v>656779</v>
      </c>
      <c r="C174" s="41" t="s">
        <v>76</v>
      </c>
      <c r="D174" s="40" t="s">
        <v>185</v>
      </c>
      <c r="E174" s="46"/>
    </row>
    <row r="175" spans="1:5" ht="17" x14ac:dyDescent="0.2">
      <c r="A175" s="35" t="s">
        <v>140</v>
      </c>
      <c r="B175" s="38">
        <v>681075</v>
      </c>
      <c r="C175" s="41" t="s">
        <v>76</v>
      </c>
      <c r="D175" s="40" t="s">
        <v>186</v>
      </c>
      <c r="E175" s="46"/>
    </row>
    <row r="176" spans="1:5" ht="17" x14ac:dyDescent="0.2">
      <c r="A176" s="35" t="s">
        <v>140</v>
      </c>
      <c r="B176" s="38">
        <v>585227</v>
      </c>
      <c r="C176" s="41" t="s">
        <v>76</v>
      </c>
      <c r="D176" s="40" t="s">
        <v>187</v>
      </c>
      <c r="E176" s="46"/>
    </row>
    <row r="177" spans="1:5" ht="17" x14ac:dyDescent="0.2">
      <c r="A177" s="35" t="s">
        <v>140</v>
      </c>
      <c r="B177" s="38">
        <v>656780</v>
      </c>
      <c r="C177" s="41" t="s">
        <v>76</v>
      </c>
      <c r="D177" s="40" t="s">
        <v>188</v>
      </c>
      <c r="E177" s="46"/>
    </row>
    <row r="178" spans="1:5" ht="17" x14ac:dyDescent="0.2">
      <c r="A178" s="35" t="s">
        <v>140</v>
      </c>
      <c r="B178" s="38">
        <v>2228264</v>
      </c>
      <c r="C178" s="41" t="s">
        <v>76</v>
      </c>
      <c r="D178" s="42" t="s">
        <v>189</v>
      </c>
      <c r="E178" s="46"/>
    </row>
    <row r="179" spans="1:5" ht="17" x14ac:dyDescent="0.2">
      <c r="A179" s="35" t="s">
        <v>140</v>
      </c>
      <c r="B179" s="38">
        <v>2822159</v>
      </c>
      <c r="C179" s="41" t="s">
        <v>76</v>
      </c>
      <c r="D179" s="49" t="s">
        <v>190</v>
      </c>
      <c r="E179" s="46"/>
    </row>
    <row r="180" spans="1:5" ht="17" x14ac:dyDescent="0.2">
      <c r="A180" s="35" t="s">
        <v>140</v>
      </c>
      <c r="B180" s="38">
        <v>2825124</v>
      </c>
      <c r="C180" s="41" t="s">
        <v>76</v>
      </c>
      <c r="D180" s="42" t="s">
        <v>191</v>
      </c>
      <c r="E180" s="46"/>
    </row>
    <row r="181" spans="1:5" ht="17" x14ac:dyDescent="0.2">
      <c r="A181" s="35" t="s">
        <v>140</v>
      </c>
      <c r="B181" s="38">
        <v>2820016</v>
      </c>
      <c r="C181" s="41" t="s">
        <v>76</v>
      </c>
      <c r="D181" s="42" t="s">
        <v>192</v>
      </c>
      <c r="E181" s="46"/>
    </row>
    <row r="182" spans="1:5" ht="17" x14ac:dyDescent="0.2">
      <c r="A182" s="35" t="s">
        <v>140</v>
      </c>
      <c r="B182" s="38">
        <v>2836032</v>
      </c>
      <c r="C182" s="41" t="s">
        <v>76</v>
      </c>
      <c r="D182" s="42" t="s">
        <v>193</v>
      </c>
      <c r="E182" s="46"/>
    </row>
    <row r="183" spans="1:5" ht="17" x14ac:dyDescent="0.2">
      <c r="A183" s="35" t="s">
        <v>140</v>
      </c>
      <c r="B183" s="38">
        <v>2972406</v>
      </c>
      <c r="C183" s="41" t="s">
        <v>76</v>
      </c>
      <c r="D183" s="42" t="s">
        <v>194</v>
      </c>
      <c r="E183" s="46"/>
    </row>
    <row r="184" spans="1:5" ht="17" x14ac:dyDescent="0.2">
      <c r="A184" s="35" t="s">
        <v>140</v>
      </c>
      <c r="B184" s="38">
        <v>2974330</v>
      </c>
      <c r="C184" s="41" t="s">
        <v>76</v>
      </c>
      <c r="D184" s="42" t="s">
        <v>195</v>
      </c>
      <c r="E184" s="46"/>
    </row>
    <row r="185" spans="1:5" ht="17" x14ac:dyDescent="0.2">
      <c r="A185" s="35" t="s">
        <v>140</v>
      </c>
      <c r="B185" s="38">
        <v>2975167</v>
      </c>
      <c r="C185" s="41" t="s">
        <v>76</v>
      </c>
      <c r="D185" s="42" t="s">
        <v>196</v>
      </c>
      <c r="E185" s="46"/>
    </row>
    <row r="186" spans="1:5" ht="17" x14ac:dyDescent="0.2">
      <c r="A186" s="50" t="s">
        <v>197</v>
      </c>
      <c r="B186" s="19" t="s">
        <v>10</v>
      </c>
      <c r="C186" s="19" t="s">
        <v>11</v>
      </c>
      <c r="D186" s="21" t="s">
        <v>12</v>
      </c>
      <c r="E186" s="21" t="s">
        <v>13</v>
      </c>
    </row>
    <row r="187" spans="1:5" ht="17" x14ac:dyDescent="0.2">
      <c r="A187" s="26" t="s">
        <v>197</v>
      </c>
      <c r="B187" s="22">
        <v>2814038</v>
      </c>
      <c r="C187" s="27" t="s">
        <v>14</v>
      </c>
      <c r="D187" s="25" t="s">
        <v>198</v>
      </c>
      <c r="E187" s="25" t="s">
        <v>199</v>
      </c>
    </row>
    <row r="188" spans="1:5" ht="17" x14ac:dyDescent="0.2">
      <c r="A188" s="26" t="s">
        <v>197</v>
      </c>
      <c r="B188" s="22">
        <v>5040389</v>
      </c>
      <c r="C188" s="27" t="s">
        <v>14</v>
      </c>
      <c r="D188" s="25" t="s">
        <v>200</v>
      </c>
      <c r="E188" s="25" t="s">
        <v>201</v>
      </c>
    </row>
    <row r="189" spans="1:5" ht="17" x14ac:dyDescent="0.2">
      <c r="A189" s="26" t="s">
        <v>197</v>
      </c>
      <c r="B189" s="22">
        <v>2877032</v>
      </c>
      <c r="C189" s="30" t="s">
        <v>17</v>
      </c>
      <c r="D189" s="25" t="s">
        <v>202</v>
      </c>
      <c r="E189" s="25" t="s">
        <v>144</v>
      </c>
    </row>
    <row r="190" spans="1:5" ht="17" x14ac:dyDescent="0.2">
      <c r="A190" s="50" t="s">
        <v>197</v>
      </c>
      <c r="B190" s="22">
        <v>2870083</v>
      </c>
      <c r="C190" s="30" t="s">
        <v>17</v>
      </c>
      <c r="D190" s="25" t="s">
        <v>203</v>
      </c>
      <c r="E190" s="25" t="str">
        <f>HYPERLINK("https://www.linkedin.com/learning/paths/digital-transformation-in-practice-virtual-collaboration-tools","Digital Transformation in Practice: Virtual Collaboration Tools")</f>
        <v>Digital Transformation in Practice: Virtual Collaboration Tools</v>
      </c>
    </row>
    <row r="191" spans="1:5" ht="17" x14ac:dyDescent="0.2">
      <c r="A191" s="50" t="s">
        <v>197</v>
      </c>
      <c r="B191" s="22">
        <v>758614</v>
      </c>
      <c r="C191" s="30" t="s">
        <v>17</v>
      </c>
      <c r="D191" s="25" t="s">
        <v>204</v>
      </c>
      <c r="E191" s="25" t="str">
        <f>HYPERLINK("https://www.linkedin.com/learning/paths/advance-your-skills-as-an-individual-contributor","Advance Your Skills as an Individual Contributor")</f>
        <v>Advance Your Skills as an Individual Contributor</v>
      </c>
    </row>
    <row r="192" spans="1:5" ht="17" x14ac:dyDescent="0.2">
      <c r="A192" s="50" t="s">
        <v>197</v>
      </c>
      <c r="B192" s="22">
        <v>534584</v>
      </c>
      <c r="C192" s="30" t="s">
        <v>17</v>
      </c>
      <c r="D192" s="25" t="s">
        <v>205</v>
      </c>
      <c r="E192" s="25" t="s">
        <v>197</v>
      </c>
    </row>
    <row r="193" spans="1:5" ht="17" x14ac:dyDescent="0.2">
      <c r="A193" s="50" t="s">
        <v>197</v>
      </c>
      <c r="B193" s="22">
        <v>633843</v>
      </c>
      <c r="C193" s="27" t="s">
        <v>17</v>
      </c>
      <c r="D193" s="25" t="s">
        <v>149</v>
      </c>
      <c r="E193" s="25"/>
    </row>
    <row r="194" spans="1:5" ht="17" x14ac:dyDescent="0.2">
      <c r="A194" s="50" t="s">
        <v>197</v>
      </c>
      <c r="B194" s="22">
        <v>622054</v>
      </c>
      <c r="C194" s="27" t="s">
        <v>17</v>
      </c>
      <c r="D194" s="25" t="s">
        <v>206</v>
      </c>
      <c r="E194" s="28"/>
    </row>
    <row r="195" spans="1:5" ht="17" x14ac:dyDescent="0.2">
      <c r="A195" s="50" t="s">
        <v>197</v>
      </c>
      <c r="B195" s="22">
        <v>570966</v>
      </c>
      <c r="C195" s="27" t="s">
        <v>17</v>
      </c>
      <c r="D195" s="25" t="s">
        <v>207</v>
      </c>
      <c r="E195" s="28"/>
    </row>
    <row r="196" spans="1:5" ht="17" x14ac:dyDescent="0.2">
      <c r="A196" s="50" t="s">
        <v>197</v>
      </c>
      <c r="B196" s="22">
        <v>570965</v>
      </c>
      <c r="C196" s="27" t="s">
        <v>17</v>
      </c>
      <c r="D196" s="25" t="s">
        <v>208</v>
      </c>
      <c r="E196" s="28"/>
    </row>
    <row r="197" spans="1:5" ht="17" x14ac:dyDescent="0.2">
      <c r="A197" s="50" t="s">
        <v>197</v>
      </c>
      <c r="B197" s="22">
        <v>176760</v>
      </c>
      <c r="C197" s="27" t="s">
        <v>17</v>
      </c>
      <c r="D197" s="25" t="s">
        <v>209</v>
      </c>
      <c r="E197" s="28"/>
    </row>
    <row r="198" spans="1:5" ht="17" x14ac:dyDescent="0.2">
      <c r="A198" s="50" t="s">
        <v>197</v>
      </c>
      <c r="B198" s="22">
        <v>580627</v>
      </c>
      <c r="C198" s="27" t="s">
        <v>17</v>
      </c>
      <c r="D198" s="25" t="s">
        <v>210</v>
      </c>
      <c r="E198" s="28"/>
    </row>
    <row r="199" spans="1:5" ht="17" x14ac:dyDescent="0.2">
      <c r="A199" s="50" t="s">
        <v>197</v>
      </c>
      <c r="B199" s="22">
        <v>784280</v>
      </c>
      <c r="C199" s="27" t="s">
        <v>17</v>
      </c>
      <c r="D199" s="25" t="s">
        <v>150</v>
      </c>
      <c r="E199" s="28"/>
    </row>
    <row r="200" spans="1:5" ht="17" x14ac:dyDescent="0.2">
      <c r="A200" s="50" t="s">
        <v>197</v>
      </c>
      <c r="B200" s="22">
        <v>466176</v>
      </c>
      <c r="C200" s="27" t="s">
        <v>17</v>
      </c>
      <c r="D200" s="25" t="s">
        <v>211</v>
      </c>
      <c r="E200" s="28"/>
    </row>
    <row r="201" spans="1:5" ht="17" x14ac:dyDescent="0.2">
      <c r="A201" s="50" t="s">
        <v>197</v>
      </c>
      <c r="B201" s="22">
        <v>624206</v>
      </c>
      <c r="C201" s="27" t="s">
        <v>17</v>
      </c>
      <c r="D201" s="25" t="s">
        <v>212</v>
      </c>
      <c r="E201" s="28"/>
    </row>
    <row r="202" spans="1:5" ht="17" x14ac:dyDescent="0.2">
      <c r="A202" s="50" t="s">
        <v>197</v>
      </c>
      <c r="B202" s="22">
        <v>2808545</v>
      </c>
      <c r="C202" s="27" t="s">
        <v>17</v>
      </c>
      <c r="D202" s="25" t="s">
        <v>213</v>
      </c>
      <c r="E202" s="28"/>
    </row>
    <row r="203" spans="1:5" ht="17" x14ac:dyDescent="0.2">
      <c r="A203" s="50" t="s">
        <v>197</v>
      </c>
      <c r="B203" s="22">
        <v>2813144</v>
      </c>
      <c r="C203" s="27" t="s">
        <v>17</v>
      </c>
      <c r="D203" s="25" t="s">
        <v>214</v>
      </c>
      <c r="E203" s="28"/>
    </row>
    <row r="204" spans="1:5" ht="17" x14ac:dyDescent="0.2">
      <c r="A204" s="50" t="s">
        <v>197</v>
      </c>
      <c r="B204" s="22">
        <v>2822315</v>
      </c>
      <c r="C204" s="27" t="s">
        <v>17</v>
      </c>
      <c r="D204" s="25" t="s">
        <v>215</v>
      </c>
      <c r="E204" s="28"/>
    </row>
    <row r="205" spans="1:5" ht="17" x14ac:dyDescent="0.2">
      <c r="A205" s="50" t="s">
        <v>197</v>
      </c>
      <c r="B205" s="22">
        <v>2825494</v>
      </c>
      <c r="C205" s="27" t="s">
        <v>17</v>
      </c>
      <c r="D205" s="25" t="s">
        <v>161</v>
      </c>
      <c r="E205" s="28"/>
    </row>
    <row r="206" spans="1:5" ht="17" x14ac:dyDescent="0.2">
      <c r="A206" s="50" t="s">
        <v>197</v>
      </c>
      <c r="B206" s="22">
        <v>2823195</v>
      </c>
      <c r="C206" s="27" t="s">
        <v>17</v>
      </c>
      <c r="D206" s="25" t="s">
        <v>160</v>
      </c>
      <c r="E206" s="28"/>
    </row>
    <row r="207" spans="1:5" ht="17" x14ac:dyDescent="0.2">
      <c r="A207" s="50" t="s">
        <v>197</v>
      </c>
      <c r="B207" s="22">
        <v>2848272</v>
      </c>
      <c r="C207" s="27" t="s">
        <v>17</v>
      </c>
      <c r="D207" s="25" t="s">
        <v>216</v>
      </c>
      <c r="E207" s="28"/>
    </row>
    <row r="208" spans="1:5" ht="17" x14ac:dyDescent="0.2">
      <c r="A208" s="50" t="s">
        <v>197</v>
      </c>
      <c r="B208" s="22">
        <v>2315934</v>
      </c>
      <c r="C208" s="27" t="s">
        <v>70</v>
      </c>
      <c r="D208" s="25" t="s">
        <v>217</v>
      </c>
      <c r="E208" s="28"/>
    </row>
    <row r="209" spans="1:5" ht="17" x14ac:dyDescent="0.2">
      <c r="A209" s="50" t="s">
        <v>197</v>
      </c>
      <c r="B209" s="22">
        <v>2818078</v>
      </c>
      <c r="C209" s="27" t="s">
        <v>70</v>
      </c>
      <c r="D209" s="25" t="s">
        <v>218</v>
      </c>
      <c r="E209" s="28"/>
    </row>
    <row r="210" spans="1:5" ht="17" x14ac:dyDescent="0.2">
      <c r="A210" s="50" t="s">
        <v>197</v>
      </c>
      <c r="B210" s="22">
        <v>2823321</v>
      </c>
      <c r="C210" s="27" t="s">
        <v>70</v>
      </c>
      <c r="D210" s="25" t="s">
        <v>219</v>
      </c>
      <c r="E210" s="28"/>
    </row>
    <row r="211" spans="1:5" ht="17" x14ac:dyDescent="0.2">
      <c r="A211" s="50" t="s">
        <v>197</v>
      </c>
      <c r="B211" s="22">
        <v>709833</v>
      </c>
      <c r="C211" s="51" t="s">
        <v>70</v>
      </c>
      <c r="D211" s="25" t="s">
        <v>220</v>
      </c>
      <c r="E211" s="28"/>
    </row>
    <row r="212" spans="1:5" ht="17" x14ac:dyDescent="0.2">
      <c r="A212" s="50" t="s">
        <v>197</v>
      </c>
      <c r="B212" s="22">
        <v>700791</v>
      </c>
      <c r="C212" s="51" t="s">
        <v>70</v>
      </c>
      <c r="D212" s="25" t="s">
        <v>221</v>
      </c>
      <c r="E212" s="28"/>
    </row>
    <row r="213" spans="1:5" ht="17" x14ac:dyDescent="0.2">
      <c r="A213" s="26" t="s">
        <v>197</v>
      </c>
      <c r="B213" s="22">
        <v>172855</v>
      </c>
      <c r="C213" s="51" t="s">
        <v>70</v>
      </c>
      <c r="D213" s="25" t="s">
        <v>222</v>
      </c>
      <c r="E213" s="28"/>
    </row>
    <row r="214" spans="1:5" ht="17" x14ac:dyDescent="0.2">
      <c r="A214" s="26" t="s">
        <v>197</v>
      </c>
      <c r="B214" s="22">
        <v>622053</v>
      </c>
      <c r="C214" s="51" t="s">
        <v>70</v>
      </c>
      <c r="D214" s="25" t="s">
        <v>223</v>
      </c>
      <c r="E214" s="28"/>
    </row>
    <row r="215" spans="1:5" ht="17" x14ac:dyDescent="0.2">
      <c r="A215" s="50" t="s">
        <v>197</v>
      </c>
      <c r="B215" s="22">
        <v>653220</v>
      </c>
      <c r="C215" s="51" t="s">
        <v>70</v>
      </c>
      <c r="D215" s="25" t="s">
        <v>224</v>
      </c>
      <c r="E215" s="28"/>
    </row>
    <row r="216" spans="1:5" ht="17" x14ac:dyDescent="0.2">
      <c r="A216" s="50" t="s">
        <v>197</v>
      </c>
      <c r="B216" s="22">
        <v>2241057</v>
      </c>
      <c r="C216" s="30" t="s">
        <v>84</v>
      </c>
      <c r="D216" s="25" t="s">
        <v>225</v>
      </c>
      <c r="E216" s="28"/>
    </row>
    <row r="217" spans="1:5" ht="17" x14ac:dyDescent="0.2">
      <c r="A217" s="50" t="s">
        <v>197</v>
      </c>
      <c r="B217" s="22">
        <v>2242035</v>
      </c>
      <c r="C217" s="30" t="s">
        <v>84</v>
      </c>
      <c r="D217" s="25" t="s">
        <v>226</v>
      </c>
      <c r="E217" s="28"/>
    </row>
    <row r="218" spans="1:5" ht="17" x14ac:dyDescent="0.2">
      <c r="A218" s="50" t="s">
        <v>197</v>
      </c>
      <c r="B218" s="22">
        <v>2243045</v>
      </c>
      <c r="C218" s="30" t="s">
        <v>84</v>
      </c>
      <c r="D218" s="25" t="s">
        <v>227</v>
      </c>
      <c r="E218" s="28"/>
    </row>
    <row r="219" spans="1:5" ht="17" x14ac:dyDescent="0.2">
      <c r="A219" s="50" t="s">
        <v>197</v>
      </c>
      <c r="B219" s="22">
        <v>2825258</v>
      </c>
      <c r="C219" s="30" t="s">
        <v>84</v>
      </c>
      <c r="D219" s="48" t="s">
        <v>228</v>
      </c>
      <c r="E219" s="28"/>
    </row>
    <row r="220" spans="1:5" ht="17" x14ac:dyDescent="0.2">
      <c r="A220" s="50" t="s">
        <v>197</v>
      </c>
      <c r="B220" s="22">
        <v>2313156</v>
      </c>
      <c r="C220" s="30" t="s">
        <v>84</v>
      </c>
      <c r="D220" s="25" t="s">
        <v>229</v>
      </c>
      <c r="E220" s="28"/>
    </row>
    <row r="221" spans="1:5" ht="17" x14ac:dyDescent="0.2">
      <c r="A221" s="50" t="s">
        <v>197</v>
      </c>
      <c r="B221" s="22">
        <v>2801187</v>
      </c>
      <c r="C221" s="30" t="s">
        <v>84</v>
      </c>
      <c r="D221" s="25" t="s">
        <v>90</v>
      </c>
      <c r="E221" s="28"/>
    </row>
    <row r="222" spans="1:5" ht="17" x14ac:dyDescent="0.2">
      <c r="A222" s="50" t="s">
        <v>197</v>
      </c>
      <c r="B222" s="22">
        <v>2807856</v>
      </c>
      <c r="C222" s="30" t="s">
        <v>84</v>
      </c>
      <c r="D222" s="25" t="s">
        <v>109</v>
      </c>
      <c r="E222" s="28"/>
    </row>
    <row r="223" spans="1:5" ht="17" x14ac:dyDescent="0.2">
      <c r="A223" s="50" t="s">
        <v>197</v>
      </c>
      <c r="B223" s="22">
        <v>5025098</v>
      </c>
      <c r="C223" s="30" t="s">
        <v>84</v>
      </c>
      <c r="D223" s="25" t="s">
        <v>230</v>
      </c>
      <c r="E223" s="28"/>
    </row>
    <row r="224" spans="1:5" ht="17" x14ac:dyDescent="0.2">
      <c r="A224" s="50" t="s">
        <v>197</v>
      </c>
      <c r="B224" s="22">
        <v>2848245</v>
      </c>
      <c r="C224" s="30" t="s">
        <v>84</v>
      </c>
      <c r="D224" s="25" t="s">
        <v>231</v>
      </c>
      <c r="E224" s="28"/>
    </row>
    <row r="225" spans="1:5" ht="17" x14ac:dyDescent="0.2">
      <c r="A225" s="50" t="s">
        <v>197</v>
      </c>
      <c r="B225" s="22">
        <v>2848243</v>
      </c>
      <c r="C225" s="30" t="s">
        <v>84</v>
      </c>
      <c r="D225" s="48" t="s">
        <v>232</v>
      </c>
      <c r="E225" s="28"/>
    </row>
    <row r="226" spans="1:5" ht="17" x14ac:dyDescent="0.2">
      <c r="A226" s="50" t="s">
        <v>197</v>
      </c>
      <c r="B226" s="22">
        <v>2849194</v>
      </c>
      <c r="C226" s="30" t="s">
        <v>84</v>
      </c>
      <c r="D226" s="25" t="s">
        <v>233</v>
      </c>
      <c r="E226" s="28"/>
    </row>
    <row r="227" spans="1:5" ht="17" x14ac:dyDescent="0.2">
      <c r="A227" s="50" t="s">
        <v>197</v>
      </c>
      <c r="B227" s="22">
        <v>2849185</v>
      </c>
      <c r="C227" s="30" t="s">
        <v>84</v>
      </c>
      <c r="D227" s="25" t="s">
        <v>234</v>
      </c>
      <c r="E227" s="28"/>
    </row>
    <row r="228" spans="1:5" ht="17" x14ac:dyDescent="0.2">
      <c r="A228" s="50" t="s">
        <v>197</v>
      </c>
      <c r="B228" s="22">
        <v>2835113</v>
      </c>
      <c r="C228" s="30" t="s">
        <v>84</v>
      </c>
      <c r="D228" s="25" t="s">
        <v>176</v>
      </c>
      <c r="E228" s="28"/>
    </row>
    <row r="229" spans="1:5" ht="17" x14ac:dyDescent="0.2">
      <c r="A229" s="50" t="s">
        <v>197</v>
      </c>
      <c r="B229" s="22">
        <v>2300009</v>
      </c>
      <c r="C229" s="30" t="s">
        <v>84</v>
      </c>
      <c r="D229" s="25" t="s">
        <v>97</v>
      </c>
      <c r="E229" s="28"/>
    </row>
    <row r="230" spans="1:5" ht="17" x14ac:dyDescent="0.2">
      <c r="A230" s="50" t="s">
        <v>197</v>
      </c>
      <c r="B230" s="22">
        <v>2848322</v>
      </c>
      <c r="C230" s="30" t="s">
        <v>84</v>
      </c>
      <c r="D230" s="25" t="s">
        <v>235</v>
      </c>
      <c r="E230" s="28"/>
    </row>
    <row r="231" spans="1:5" ht="17" x14ac:dyDescent="0.2">
      <c r="A231" s="50" t="s">
        <v>197</v>
      </c>
      <c r="B231" s="22">
        <v>2825601</v>
      </c>
      <c r="C231" s="30" t="s">
        <v>76</v>
      </c>
      <c r="D231" s="25" t="s">
        <v>236</v>
      </c>
      <c r="E231" s="28"/>
    </row>
    <row r="232" spans="1:5" ht="17" x14ac:dyDescent="0.2">
      <c r="A232" s="50" t="s">
        <v>197</v>
      </c>
      <c r="B232" s="22">
        <v>699245</v>
      </c>
      <c r="C232" s="23" t="s">
        <v>76</v>
      </c>
      <c r="D232" s="25" t="s">
        <v>237</v>
      </c>
      <c r="E232" s="28"/>
    </row>
    <row r="233" spans="1:5" ht="17" x14ac:dyDescent="0.2">
      <c r="A233" s="50" t="s">
        <v>197</v>
      </c>
      <c r="B233" s="22">
        <v>612162</v>
      </c>
      <c r="C233" s="27" t="s">
        <v>76</v>
      </c>
      <c r="D233" s="25" t="s">
        <v>238</v>
      </c>
      <c r="E233" s="28"/>
    </row>
    <row r="234" spans="1:5" ht="17" x14ac:dyDescent="0.2">
      <c r="A234" s="50" t="s">
        <v>197</v>
      </c>
      <c r="B234" s="22">
        <v>700792</v>
      </c>
      <c r="C234" s="27" t="s">
        <v>76</v>
      </c>
      <c r="D234" s="25" t="s">
        <v>239</v>
      </c>
      <c r="E234" s="28"/>
    </row>
    <row r="235" spans="1:5" ht="17" x14ac:dyDescent="0.2">
      <c r="A235" s="50" t="s">
        <v>197</v>
      </c>
      <c r="B235" s="22">
        <v>656781</v>
      </c>
      <c r="C235" s="27" t="s">
        <v>76</v>
      </c>
      <c r="D235" s="25" t="s">
        <v>182</v>
      </c>
      <c r="E235" s="28"/>
    </row>
    <row r="236" spans="1:5" ht="17" x14ac:dyDescent="0.2">
      <c r="A236" s="50" t="s">
        <v>197</v>
      </c>
      <c r="B236" s="22">
        <v>645013</v>
      </c>
      <c r="C236" s="27" t="s">
        <v>76</v>
      </c>
      <c r="D236" s="25" t="s">
        <v>240</v>
      </c>
      <c r="E236" s="28"/>
    </row>
    <row r="237" spans="1:5" ht="17" x14ac:dyDescent="0.2">
      <c r="A237" s="50" t="s">
        <v>197</v>
      </c>
      <c r="B237" s="22">
        <v>2813182</v>
      </c>
      <c r="C237" s="27" t="s">
        <v>76</v>
      </c>
      <c r="D237" s="25" t="s">
        <v>241</v>
      </c>
      <c r="E237" s="28"/>
    </row>
    <row r="238" spans="1:5" ht="17" x14ac:dyDescent="0.2">
      <c r="A238" s="50" t="s">
        <v>197</v>
      </c>
      <c r="B238" s="22">
        <v>2825259</v>
      </c>
      <c r="C238" s="27" t="s">
        <v>76</v>
      </c>
      <c r="D238" s="25" t="s">
        <v>242</v>
      </c>
      <c r="E238" s="28"/>
    </row>
    <row r="239" spans="1:5" ht="17" x14ac:dyDescent="0.2">
      <c r="A239" s="50" t="s">
        <v>197</v>
      </c>
      <c r="B239" s="22">
        <v>2822684</v>
      </c>
      <c r="C239" s="27" t="s">
        <v>76</v>
      </c>
      <c r="D239" s="25" t="s">
        <v>243</v>
      </c>
      <c r="E239" s="28"/>
    </row>
    <row r="240" spans="1:5" ht="17" x14ac:dyDescent="0.2">
      <c r="A240" s="26" t="s">
        <v>244</v>
      </c>
      <c r="B240" s="19" t="s">
        <v>10</v>
      </c>
      <c r="C240" s="19" t="s">
        <v>11</v>
      </c>
      <c r="D240" s="21" t="s">
        <v>12</v>
      </c>
      <c r="E240" s="21" t="s">
        <v>13</v>
      </c>
    </row>
    <row r="241" spans="1:5" ht="17" x14ac:dyDescent="0.2">
      <c r="A241" s="26" t="s">
        <v>244</v>
      </c>
      <c r="B241" s="22">
        <v>711805</v>
      </c>
      <c r="C241" s="27" t="s">
        <v>14</v>
      </c>
      <c r="D241" s="25" t="s">
        <v>245</v>
      </c>
      <c r="E241" s="25" t="s">
        <v>201</v>
      </c>
    </row>
    <row r="242" spans="1:5" ht="17" x14ac:dyDescent="0.2">
      <c r="A242" s="26" t="s">
        <v>244</v>
      </c>
      <c r="B242" s="22">
        <v>2975163</v>
      </c>
      <c r="C242" s="27" t="s">
        <v>14</v>
      </c>
      <c r="D242" s="25" t="s">
        <v>246</v>
      </c>
      <c r="E242" s="25" t="s">
        <v>247</v>
      </c>
    </row>
    <row r="243" spans="1:5" ht="17" x14ac:dyDescent="0.2">
      <c r="A243" s="26" t="s">
        <v>244</v>
      </c>
      <c r="B243" s="22">
        <v>376381</v>
      </c>
      <c r="C243" s="27" t="s">
        <v>14</v>
      </c>
      <c r="D243" s="25" t="s">
        <v>248</v>
      </c>
      <c r="E243" s="25" t="s">
        <v>144</v>
      </c>
    </row>
    <row r="244" spans="1:5" ht="17" x14ac:dyDescent="0.2">
      <c r="A244" s="26" t="s">
        <v>244</v>
      </c>
      <c r="B244" s="22">
        <v>359601</v>
      </c>
      <c r="C244" s="27" t="s">
        <v>17</v>
      </c>
      <c r="D244" s="25" t="s">
        <v>249</v>
      </c>
      <c r="E244" s="25" t="str">
        <f>HYPERLINK("https://www.linkedin.com/learning/paths/master-in-demand-professional-soft-skills","Master In-Demand Professional Soft Skills")</f>
        <v>Master In-Demand Professional Soft Skills</v>
      </c>
    </row>
    <row r="245" spans="1:5" ht="17" x14ac:dyDescent="0.2">
      <c r="A245" s="26" t="s">
        <v>244</v>
      </c>
      <c r="B245" s="22">
        <v>534584</v>
      </c>
      <c r="C245" s="27" t="s">
        <v>17</v>
      </c>
      <c r="D245" s="25" t="s">
        <v>205</v>
      </c>
      <c r="E245" s="25" t="str">
        <f>HYPERLINK("https://www.linkedin.com/learning/paths/visual-communication-for-business-professionals","Visual Communication for Business Professionals")</f>
        <v>Visual Communication for Business Professionals</v>
      </c>
    </row>
    <row r="246" spans="1:5" ht="17" x14ac:dyDescent="0.2">
      <c r="A246" s="26" t="s">
        <v>244</v>
      </c>
      <c r="B246" s="22">
        <v>700790</v>
      </c>
      <c r="C246" s="23" t="s">
        <v>17</v>
      </c>
      <c r="D246" s="25" t="s">
        <v>250</v>
      </c>
      <c r="E246" s="25" t="s">
        <v>251</v>
      </c>
    </row>
    <row r="247" spans="1:5" ht="17" x14ac:dyDescent="0.2">
      <c r="A247" s="26" t="s">
        <v>244</v>
      </c>
      <c r="B247" s="22">
        <v>633843</v>
      </c>
      <c r="C247" s="27" t="s">
        <v>17</v>
      </c>
      <c r="D247" s="25" t="s">
        <v>149</v>
      </c>
      <c r="E247" s="28"/>
    </row>
    <row r="248" spans="1:5" ht="17" x14ac:dyDescent="0.2">
      <c r="A248" s="26" t="s">
        <v>244</v>
      </c>
      <c r="B248" s="22">
        <v>176760</v>
      </c>
      <c r="C248" s="27" t="s">
        <v>17</v>
      </c>
      <c r="D248" s="25" t="s">
        <v>209</v>
      </c>
      <c r="E248" s="28"/>
    </row>
    <row r="249" spans="1:5" ht="17" x14ac:dyDescent="0.2">
      <c r="A249" s="26" t="s">
        <v>244</v>
      </c>
      <c r="B249" s="22">
        <v>148625</v>
      </c>
      <c r="C249" s="27" t="s">
        <v>17</v>
      </c>
      <c r="D249" s="25" t="s">
        <v>252</v>
      </c>
      <c r="E249" s="28"/>
    </row>
    <row r="250" spans="1:5" ht="17" x14ac:dyDescent="0.2">
      <c r="A250" s="26" t="s">
        <v>244</v>
      </c>
      <c r="B250" s="22">
        <v>580627</v>
      </c>
      <c r="C250" s="27" t="s">
        <v>17</v>
      </c>
      <c r="D250" s="25" t="s">
        <v>210</v>
      </c>
      <c r="E250" s="28"/>
    </row>
    <row r="251" spans="1:5" ht="17" x14ac:dyDescent="0.2">
      <c r="A251" s="26" t="s">
        <v>244</v>
      </c>
      <c r="B251" s="22">
        <v>653219</v>
      </c>
      <c r="C251" s="23" t="s">
        <v>17</v>
      </c>
      <c r="D251" s="25" t="s">
        <v>253</v>
      </c>
      <c r="E251" s="28"/>
    </row>
    <row r="252" spans="1:5" ht="17" x14ac:dyDescent="0.2">
      <c r="A252" s="26" t="s">
        <v>244</v>
      </c>
      <c r="B252" s="22">
        <v>482051</v>
      </c>
      <c r="C252" s="23" t="s">
        <v>17</v>
      </c>
      <c r="D252" s="25" t="s">
        <v>254</v>
      </c>
      <c r="E252" s="28"/>
    </row>
    <row r="253" spans="1:5" ht="17" x14ac:dyDescent="0.2">
      <c r="A253" s="26" t="s">
        <v>244</v>
      </c>
      <c r="B253" s="22">
        <v>693068</v>
      </c>
      <c r="C253" s="27" t="s">
        <v>17</v>
      </c>
      <c r="D253" s="25" t="s">
        <v>255</v>
      </c>
      <c r="E253" s="28"/>
    </row>
    <row r="254" spans="1:5" ht="17" x14ac:dyDescent="0.2">
      <c r="A254" s="26" t="s">
        <v>244</v>
      </c>
      <c r="B254" s="22">
        <v>553701</v>
      </c>
      <c r="C254" s="27" t="s">
        <v>17</v>
      </c>
      <c r="D254" s="25" t="s">
        <v>256</v>
      </c>
      <c r="E254" s="28"/>
    </row>
    <row r="255" spans="1:5" ht="17" x14ac:dyDescent="0.2">
      <c r="A255" s="26" t="s">
        <v>244</v>
      </c>
      <c r="B255" s="22">
        <v>370569</v>
      </c>
      <c r="C255" s="27" t="s">
        <v>17</v>
      </c>
      <c r="D255" s="25" t="s">
        <v>257</v>
      </c>
      <c r="E255" s="28"/>
    </row>
    <row r="256" spans="1:5" ht="17" x14ac:dyDescent="0.2">
      <c r="A256" s="26" t="s">
        <v>244</v>
      </c>
      <c r="B256" s="22">
        <v>578056</v>
      </c>
      <c r="C256" s="27" t="s">
        <v>17</v>
      </c>
      <c r="D256" s="25" t="s">
        <v>258</v>
      </c>
      <c r="E256" s="28"/>
    </row>
    <row r="257" spans="1:5" ht="17" x14ac:dyDescent="0.2">
      <c r="A257" s="26" t="s">
        <v>244</v>
      </c>
      <c r="B257" s="22">
        <v>2805907</v>
      </c>
      <c r="C257" s="27" t="s">
        <v>17</v>
      </c>
      <c r="D257" s="25" t="s">
        <v>259</v>
      </c>
      <c r="E257" s="28"/>
    </row>
    <row r="258" spans="1:5" ht="17" x14ac:dyDescent="0.2">
      <c r="A258" s="26" t="s">
        <v>244</v>
      </c>
      <c r="B258" s="22">
        <v>2807858</v>
      </c>
      <c r="C258" s="27" t="s">
        <v>17</v>
      </c>
      <c r="D258" s="25" t="s">
        <v>260</v>
      </c>
      <c r="E258" s="28"/>
    </row>
    <row r="259" spans="1:5" ht="17" x14ac:dyDescent="0.2">
      <c r="A259" s="26" t="s">
        <v>244</v>
      </c>
      <c r="B259" s="22">
        <v>2807859</v>
      </c>
      <c r="C259" s="27" t="s">
        <v>17</v>
      </c>
      <c r="D259" s="25" t="s">
        <v>261</v>
      </c>
      <c r="E259" s="28"/>
    </row>
    <row r="260" spans="1:5" ht="17" x14ac:dyDescent="0.2">
      <c r="A260" s="26" t="s">
        <v>244</v>
      </c>
      <c r="B260" s="22">
        <v>2808545</v>
      </c>
      <c r="C260" s="27" t="s">
        <v>17</v>
      </c>
      <c r="D260" s="25" t="s">
        <v>213</v>
      </c>
      <c r="E260" s="28"/>
    </row>
    <row r="261" spans="1:5" ht="17" x14ac:dyDescent="0.2">
      <c r="A261" s="26" t="s">
        <v>244</v>
      </c>
      <c r="B261" s="22">
        <v>2812533</v>
      </c>
      <c r="C261" s="27" t="s">
        <v>17</v>
      </c>
      <c r="D261" s="25" t="s">
        <v>262</v>
      </c>
      <c r="E261" s="28"/>
    </row>
    <row r="262" spans="1:5" ht="17" x14ac:dyDescent="0.2">
      <c r="A262" s="26" t="s">
        <v>244</v>
      </c>
      <c r="B262" s="22">
        <v>2813144</v>
      </c>
      <c r="C262" s="27" t="s">
        <v>17</v>
      </c>
      <c r="D262" s="25" t="s">
        <v>214</v>
      </c>
      <c r="E262" s="28"/>
    </row>
    <row r="263" spans="1:5" ht="17" x14ac:dyDescent="0.2">
      <c r="A263" s="26" t="s">
        <v>244</v>
      </c>
      <c r="B263" s="22">
        <v>2824175</v>
      </c>
      <c r="C263" s="27" t="s">
        <v>17</v>
      </c>
      <c r="D263" s="25" t="s">
        <v>263</v>
      </c>
      <c r="E263" s="28"/>
    </row>
    <row r="264" spans="1:5" ht="17" x14ac:dyDescent="0.2">
      <c r="A264" s="26" t="s">
        <v>244</v>
      </c>
      <c r="B264" s="22">
        <v>2243047</v>
      </c>
      <c r="C264" s="27" t="s">
        <v>17</v>
      </c>
      <c r="D264" s="25" t="s">
        <v>153</v>
      </c>
      <c r="E264" s="28"/>
    </row>
    <row r="265" spans="1:5" ht="17" x14ac:dyDescent="0.2">
      <c r="A265" s="26" t="s">
        <v>244</v>
      </c>
      <c r="B265" s="22">
        <v>2834027</v>
      </c>
      <c r="C265" s="27" t="s">
        <v>17</v>
      </c>
      <c r="D265" s="25" t="s">
        <v>264</v>
      </c>
      <c r="E265" s="28"/>
    </row>
    <row r="266" spans="1:5" ht="17" x14ac:dyDescent="0.2">
      <c r="A266" s="26" t="s">
        <v>244</v>
      </c>
      <c r="B266" s="22">
        <v>2299019</v>
      </c>
      <c r="C266" s="27" t="s">
        <v>17</v>
      </c>
      <c r="D266" s="25" t="s">
        <v>265</v>
      </c>
      <c r="E266" s="28"/>
    </row>
    <row r="267" spans="1:5" ht="17" x14ac:dyDescent="0.2">
      <c r="A267" s="26" t="s">
        <v>244</v>
      </c>
      <c r="B267" s="22">
        <v>2837268</v>
      </c>
      <c r="C267" s="27" t="s">
        <v>17</v>
      </c>
      <c r="D267" s="25" t="s">
        <v>266</v>
      </c>
      <c r="E267" s="28"/>
    </row>
    <row r="268" spans="1:5" ht="17" x14ac:dyDescent="0.2">
      <c r="A268" s="26" t="s">
        <v>244</v>
      </c>
      <c r="B268" s="22">
        <v>2836031</v>
      </c>
      <c r="C268" s="27" t="s">
        <v>17</v>
      </c>
      <c r="D268" s="25" t="s">
        <v>267</v>
      </c>
      <c r="E268" s="28"/>
    </row>
    <row r="269" spans="1:5" ht="17" x14ac:dyDescent="0.2">
      <c r="A269" s="26" t="s">
        <v>244</v>
      </c>
      <c r="B269" s="22">
        <v>2873069</v>
      </c>
      <c r="C269" s="27" t="s">
        <v>17</v>
      </c>
      <c r="D269" s="25" t="s">
        <v>268</v>
      </c>
      <c r="E269" s="28"/>
    </row>
    <row r="270" spans="1:5" ht="17" x14ac:dyDescent="0.2">
      <c r="A270" s="26" t="s">
        <v>244</v>
      </c>
      <c r="B270" s="22">
        <v>2877030</v>
      </c>
      <c r="C270" s="27" t="s">
        <v>17</v>
      </c>
      <c r="D270" s="25" t="s">
        <v>269</v>
      </c>
      <c r="E270" s="28"/>
    </row>
    <row r="271" spans="1:5" ht="17" x14ac:dyDescent="0.2">
      <c r="A271" s="26" t="s">
        <v>244</v>
      </c>
      <c r="B271" s="22">
        <v>2873074</v>
      </c>
      <c r="C271" s="27" t="s">
        <v>17</v>
      </c>
      <c r="D271" s="25" t="s">
        <v>270</v>
      </c>
      <c r="E271" s="28"/>
    </row>
    <row r="272" spans="1:5" ht="17" x14ac:dyDescent="0.2">
      <c r="A272" s="26" t="s">
        <v>244</v>
      </c>
      <c r="B272" s="22">
        <v>2865036</v>
      </c>
      <c r="C272" s="27" t="s">
        <v>17</v>
      </c>
      <c r="D272" s="25" t="s">
        <v>271</v>
      </c>
      <c r="E272" s="28"/>
    </row>
    <row r="273" spans="1:5" ht="17" x14ac:dyDescent="0.2">
      <c r="A273" s="26" t="s">
        <v>244</v>
      </c>
      <c r="B273" s="22">
        <v>2877078</v>
      </c>
      <c r="C273" s="27" t="s">
        <v>17</v>
      </c>
      <c r="D273" s="25" t="s">
        <v>272</v>
      </c>
      <c r="E273" s="28"/>
    </row>
    <row r="274" spans="1:5" ht="17" x14ac:dyDescent="0.2">
      <c r="A274" s="26" t="s">
        <v>244</v>
      </c>
      <c r="B274" s="22">
        <v>2877077</v>
      </c>
      <c r="C274" s="27" t="s">
        <v>17</v>
      </c>
      <c r="D274" s="25" t="s">
        <v>273</v>
      </c>
      <c r="E274" s="28"/>
    </row>
    <row r="275" spans="1:5" ht="17" x14ac:dyDescent="0.2">
      <c r="A275" s="26" t="s">
        <v>244</v>
      </c>
      <c r="B275" s="22">
        <v>2974329</v>
      </c>
      <c r="C275" s="27" t="s">
        <v>17</v>
      </c>
      <c r="D275" s="25" t="s">
        <v>274</v>
      </c>
      <c r="E275" s="28"/>
    </row>
    <row r="276" spans="1:5" ht="17" x14ac:dyDescent="0.2">
      <c r="A276" s="26" t="s">
        <v>244</v>
      </c>
      <c r="B276" s="22">
        <v>2315934</v>
      </c>
      <c r="C276" s="27" t="s">
        <v>70</v>
      </c>
      <c r="D276" s="25" t="s">
        <v>217</v>
      </c>
      <c r="E276" s="28"/>
    </row>
    <row r="277" spans="1:5" ht="17" x14ac:dyDescent="0.2">
      <c r="A277" s="26" t="s">
        <v>244</v>
      </c>
      <c r="B277" s="22">
        <v>2823321</v>
      </c>
      <c r="C277" s="27" t="s">
        <v>70</v>
      </c>
      <c r="D277" s="25" t="s">
        <v>219</v>
      </c>
      <c r="E277" s="28"/>
    </row>
    <row r="278" spans="1:5" ht="17" x14ac:dyDescent="0.2">
      <c r="A278" s="26" t="s">
        <v>244</v>
      </c>
      <c r="B278" s="22">
        <v>2816032</v>
      </c>
      <c r="C278" s="27" t="s">
        <v>70</v>
      </c>
      <c r="D278" s="25" t="s">
        <v>275</v>
      </c>
      <c r="E278" s="28"/>
    </row>
    <row r="279" spans="1:5" ht="17" x14ac:dyDescent="0.2">
      <c r="A279" s="26" t="s">
        <v>244</v>
      </c>
      <c r="B279" s="22">
        <v>808669</v>
      </c>
      <c r="C279" s="30" t="s">
        <v>70</v>
      </c>
      <c r="D279" s="25" t="s">
        <v>276</v>
      </c>
      <c r="E279" s="28"/>
    </row>
    <row r="280" spans="1:5" ht="17" x14ac:dyDescent="0.2">
      <c r="A280" s="26" t="s">
        <v>244</v>
      </c>
      <c r="B280" s="22">
        <v>700791</v>
      </c>
      <c r="C280" s="30" t="s">
        <v>70</v>
      </c>
      <c r="D280" s="25" t="s">
        <v>221</v>
      </c>
      <c r="E280" s="28"/>
    </row>
    <row r="281" spans="1:5" ht="17" x14ac:dyDescent="0.2">
      <c r="A281" s="26" t="s">
        <v>244</v>
      </c>
      <c r="B281" s="22">
        <v>653220</v>
      </c>
      <c r="C281" s="30" t="s">
        <v>70</v>
      </c>
      <c r="D281" s="25" t="s">
        <v>224</v>
      </c>
      <c r="E281" s="28"/>
    </row>
    <row r="282" spans="1:5" ht="17" x14ac:dyDescent="0.2">
      <c r="A282" s="26" t="s">
        <v>244</v>
      </c>
      <c r="B282" s="22">
        <v>612173</v>
      </c>
      <c r="C282" s="30" t="s">
        <v>70</v>
      </c>
      <c r="D282" s="25" t="s">
        <v>277</v>
      </c>
      <c r="E282" s="28"/>
    </row>
    <row r="283" spans="1:5" ht="17" x14ac:dyDescent="0.2">
      <c r="A283" s="26" t="s">
        <v>244</v>
      </c>
      <c r="B283" s="22">
        <v>2848339</v>
      </c>
      <c r="C283" s="27" t="s">
        <v>70</v>
      </c>
      <c r="D283" s="25" t="s">
        <v>278</v>
      </c>
      <c r="E283" s="28"/>
    </row>
    <row r="284" spans="1:5" ht="17" x14ac:dyDescent="0.2">
      <c r="A284" s="26" t="s">
        <v>244</v>
      </c>
      <c r="B284" s="22">
        <v>2825076</v>
      </c>
      <c r="C284" s="27" t="s">
        <v>84</v>
      </c>
      <c r="D284" s="25" t="s">
        <v>279</v>
      </c>
      <c r="E284" s="28"/>
    </row>
    <row r="285" spans="1:5" ht="17" x14ac:dyDescent="0.2">
      <c r="A285" s="26" t="s">
        <v>244</v>
      </c>
      <c r="B285" s="22">
        <v>2825261</v>
      </c>
      <c r="C285" s="27" t="s">
        <v>84</v>
      </c>
      <c r="D285" s="25" t="s">
        <v>280</v>
      </c>
      <c r="E285" s="28"/>
    </row>
    <row r="286" spans="1:5" ht="17" x14ac:dyDescent="0.2">
      <c r="A286" s="26" t="s">
        <v>244</v>
      </c>
      <c r="B286" s="22">
        <v>2836016</v>
      </c>
      <c r="C286" s="27" t="s">
        <v>84</v>
      </c>
      <c r="D286" s="25" t="s">
        <v>281</v>
      </c>
      <c r="E286" s="28"/>
    </row>
    <row r="287" spans="1:5" ht="17" x14ac:dyDescent="0.2">
      <c r="A287" s="26" t="s">
        <v>244</v>
      </c>
      <c r="B287" s="22">
        <v>2976136</v>
      </c>
      <c r="C287" s="27" t="s">
        <v>84</v>
      </c>
      <c r="D287" s="25" t="s">
        <v>282</v>
      </c>
      <c r="E287" s="28"/>
    </row>
    <row r="288" spans="1:5" ht="17" x14ac:dyDescent="0.2">
      <c r="A288" s="26" t="s">
        <v>244</v>
      </c>
      <c r="B288" s="22">
        <v>5025098</v>
      </c>
      <c r="C288" s="27" t="s">
        <v>84</v>
      </c>
      <c r="D288" s="25" t="s">
        <v>230</v>
      </c>
      <c r="E288" s="28"/>
    </row>
    <row r="289" spans="1:5" ht="17" x14ac:dyDescent="0.2">
      <c r="A289" s="26" t="s">
        <v>244</v>
      </c>
      <c r="B289" s="22">
        <v>2809355</v>
      </c>
      <c r="C289" s="27" t="s">
        <v>84</v>
      </c>
      <c r="D289" s="25" t="s">
        <v>283</v>
      </c>
      <c r="E289" s="28"/>
    </row>
    <row r="290" spans="1:5" ht="17" x14ac:dyDescent="0.2">
      <c r="A290" s="26" t="s">
        <v>244</v>
      </c>
      <c r="B290" s="22">
        <v>2825731</v>
      </c>
      <c r="C290" s="27" t="s">
        <v>84</v>
      </c>
      <c r="D290" s="25" t="s">
        <v>284</v>
      </c>
      <c r="E290" s="28"/>
    </row>
    <row r="291" spans="1:5" ht="17" x14ac:dyDescent="0.2">
      <c r="A291" s="26" t="s">
        <v>244</v>
      </c>
      <c r="B291" s="22">
        <v>2841066</v>
      </c>
      <c r="C291" s="27" t="s">
        <v>84</v>
      </c>
      <c r="D291" s="25" t="s">
        <v>285</v>
      </c>
      <c r="E291" s="28"/>
    </row>
    <row r="292" spans="1:5" ht="17" x14ac:dyDescent="0.2">
      <c r="A292" s="26" t="s">
        <v>244</v>
      </c>
      <c r="B292" s="22">
        <v>2313156</v>
      </c>
      <c r="C292" s="27" t="s">
        <v>84</v>
      </c>
      <c r="D292" s="25" t="s">
        <v>229</v>
      </c>
      <c r="E292" s="28"/>
    </row>
    <row r="293" spans="1:5" ht="17" x14ac:dyDescent="0.2">
      <c r="A293" s="26" t="s">
        <v>244</v>
      </c>
      <c r="B293" s="22">
        <v>5019837</v>
      </c>
      <c r="C293" s="27" t="s">
        <v>84</v>
      </c>
      <c r="D293" s="25" t="s">
        <v>286</v>
      </c>
      <c r="E293" s="28"/>
    </row>
    <row r="294" spans="1:5" ht="17" x14ac:dyDescent="0.2">
      <c r="A294" s="26" t="s">
        <v>244</v>
      </c>
      <c r="B294" s="22">
        <v>2353949</v>
      </c>
      <c r="C294" s="27" t="s">
        <v>84</v>
      </c>
      <c r="D294" s="25" t="s">
        <v>287</v>
      </c>
      <c r="E294" s="28"/>
    </row>
    <row r="295" spans="1:5" ht="17" x14ac:dyDescent="0.2">
      <c r="A295" s="26" t="s">
        <v>244</v>
      </c>
      <c r="B295" s="22">
        <v>2849185</v>
      </c>
      <c r="C295" s="27" t="s">
        <v>84</v>
      </c>
      <c r="D295" s="25" t="s">
        <v>234</v>
      </c>
      <c r="E295" s="28"/>
    </row>
    <row r="296" spans="1:5" ht="17" x14ac:dyDescent="0.2">
      <c r="A296" s="26" t="s">
        <v>244</v>
      </c>
      <c r="B296" s="22">
        <v>2848321</v>
      </c>
      <c r="C296" s="27" t="s">
        <v>84</v>
      </c>
      <c r="D296" s="25" t="s">
        <v>288</v>
      </c>
      <c r="E296" s="28"/>
    </row>
    <row r="297" spans="1:5" ht="17" x14ac:dyDescent="0.2">
      <c r="A297" s="26" t="s">
        <v>244</v>
      </c>
      <c r="B297" s="22">
        <v>2825696</v>
      </c>
      <c r="C297" s="27" t="s">
        <v>84</v>
      </c>
      <c r="D297" s="25" t="s">
        <v>289</v>
      </c>
      <c r="E297" s="28"/>
    </row>
    <row r="298" spans="1:5" ht="17" x14ac:dyDescent="0.2">
      <c r="A298" s="26" t="s">
        <v>244</v>
      </c>
      <c r="B298" s="22">
        <v>2878126</v>
      </c>
      <c r="C298" s="27" t="s">
        <v>84</v>
      </c>
      <c r="D298" s="25" t="s">
        <v>290</v>
      </c>
      <c r="E298" s="28"/>
    </row>
    <row r="299" spans="1:5" ht="17" x14ac:dyDescent="0.2">
      <c r="A299" s="26" t="s">
        <v>244</v>
      </c>
      <c r="B299" s="22">
        <v>2857061</v>
      </c>
      <c r="C299" s="27" t="s">
        <v>84</v>
      </c>
      <c r="D299" s="25" t="s">
        <v>291</v>
      </c>
      <c r="E299" s="28"/>
    </row>
    <row r="300" spans="1:5" ht="17" x14ac:dyDescent="0.2">
      <c r="A300" s="26" t="s">
        <v>244</v>
      </c>
      <c r="B300" s="22">
        <v>2824373</v>
      </c>
      <c r="C300" s="27" t="s">
        <v>84</v>
      </c>
      <c r="D300" s="25" t="s">
        <v>292</v>
      </c>
      <c r="E300" s="28"/>
    </row>
    <row r="301" spans="1:5" ht="17" x14ac:dyDescent="0.2">
      <c r="A301" s="26" t="s">
        <v>244</v>
      </c>
      <c r="B301" s="22">
        <v>2874051</v>
      </c>
      <c r="C301" s="27" t="s">
        <v>84</v>
      </c>
      <c r="D301" s="25" t="s">
        <v>293</v>
      </c>
      <c r="E301" s="28"/>
    </row>
    <row r="302" spans="1:5" ht="17" x14ac:dyDescent="0.2">
      <c r="A302" s="26" t="s">
        <v>244</v>
      </c>
      <c r="B302" s="22">
        <v>2874052</v>
      </c>
      <c r="C302" s="27" t="s">
        <v>84</v>
      </c>
      <c r="D302" s="25" t="s">
        <v>294</v>
      </c>
      <c r="E302" s="28"/>
    </row>
    <row r="303" spans="1:5" ht="17" x14ac:dyDescent="0.2">
      <c r="A303" s="26" t="s">
        <v>244</v>
      </c>
      <c r="B303" s="22">
        <v>2829004</v>
      </c>
      <c r="C303" s="27" t="s">
        <v>84</v>
      </c>
      <c r="D303" s="25" t="s">
        <v>295</v>
      </c>
      <c r="E303" s="28"/>
    </row>
    <row r="304" spans="1:5" ht="17" x14ac:dyDescent="0.2">
      <c r="A304" s="26" t="s">
        <v>244</v>
      </c>
      <c r="B304" s="22">
        <v>2848322</v>
      </c>
      <c r="C304" s="27" t="s">
        <v>84</v>
      </c>
      <c r="D304" s="25" t="s">
        <v>235</v>
      </c>
      <c r="E304" s="28"/>
    </row>
    <row r="305" spans="1:5" ht="17" x14ac:dyDescent="0.2">
      <c r="A305" s="26" t="s">
        <v>244</v>
      </c>
      <c r="B305" s="22">
        <v>2825738</v>
      </c>
      <c r="C305" s="27" t="s">
        <v>84</v>
      </c>
      <c r="D305" s="25" t="s">
        <v>296</v>
      </c>
      <c r="E305" s="28"/>
    </row>
    <row r="306" spans="1:5" ht="17" x14ac:dyDescent="0.2">
      <c r="A306" s="26" t="s">
        <v>244</v>
      </c>
      <c r="B306" s="22">
        <v>612162</v>
      </c>
      <c r="C306" s="27" t="s">
        <v>76</v>
      </c>
      <c r="D306" s="25" t="s">
        <v>238</v>
      </c>
      <c r="E306" s="28"/>
    </row>
    <row r="307" spans="1:5" ht="17" x14ac:dyDescent="0.2">
      <c r="A307" s="26" t="s">
        <v>244</v>
      </c>
      <c r="B307" s="22">
        <v>170778</v>
      </c>
      <c r="C307" s="27" t="s">
        <v>76</v>
      </c>
      <c r="D307" s="52" t="str">
        <f>HYPERLINK("https://www.linkedin.com/learning/communication-tips-weekly","Communication Tips")</f>
        <v>Communication Tips</v>
      </c>
      <c r="E307" s="28"/>
    </row>
    <row r="308" spans="1:5" ht="17" x14ac:dyDescent="0.2">
      <c r="A308" s="26" t="s">
        <v>244</v>
      </c>
      <c r="B308" s="22">
        <v>656781</v>
      </c>
      <c r="C308" s="27" t="s">
        <v>76</v>
      </c>
      <c r="D308" s="25" t="s">
        <v>182</v>
      </c>
      <c r="E308" s="28"/>
    </row>
    <row r="309" spans="1:5" ht="17" x14ac:dyDescent="0.2">
      <c r="A309" s="26" t="s">
        <v>244</v>
      </c>
      <c r="B309" s="22">
        <v>743144</v>
      </c>
      <c r="C309" s="27" t="s">
        <v>76</v>
      </c>
      <c r="D309" s="25" t="s">
        <v>297</v>
      </c>
      <c r="E309" s="28"/>
    </row>
    <row r="310" spans="1:5" ht="17" x14ac:dyDescent="0.2">
      <c r="A310" s="26" t="s">
        <v>244</v>
      </c>
      <c r="B310" s="22">
        <v>2811020</v>
      </c>
      <c r="C310" s="27" t="s">
        <v>76</v>
      </c>
      <c r="D310" s="25" t="s">
        <v>298</v>
      </c>
      <c r="E310" s="28"/>
    </row>
    <row r="311" spans="1:5" ht="17" x14ac:dyDescent="0.2">
      <c r="A311" s="26" t="s">
        <v>244</v>
      </c>
      <c r="B311" s="22">
        <v>2814066</v>
      </c>
      <c r="C311" s="27" t="s">
        <v>76</v>
      </c>
      <c r="D311" s="25" t="s">
        <v>299</v>
      </c>
      <c r="E311" s="28"/>
    </row>
    <row r="312" spans="1:5" ht="17" x14ac:dyDescent="0.2">
      <c r="A312" s="26" t="s">
        <v>244</v>
      </c>
      <c r="B312" s="22">
        <v>2252216</v>
      </c>
      <c r="C312" s="27" t="s">
        <v>76</v>
      </c>
      <c r="D312" s="25" t="s">
        <v>300</v>
      </c>
      <c r="E312" s="28"/>
    </row>
    <row r="313" spans="1:5" ht="17" x14ac:dyDescent="0.2">
      <c r="A313" s="26" t="s">
        <v>244</v>
      </c>
      <c r="B313" s="22">
        <v>2836032</v>
      </c>
      <c r="C313" s="27" t="s">
        <v>76</v>
      </c>
      <c r="D313" s="25" t="s">
        <v>193</v>
      </c>
      <c r="E313" s="28"/>
    </row>
    <row r="314" spans="1:5" ht="17" x14ac:dyDescent="0.2">
      <c r="A314" s="26" t="s">
        <v>244</v>
      </c>
      <c r="B314" s="22">
        <v>2839042</v>
      </c>
      <c r="C314" s="27" t="s">
        <v>76</v>
      </c>
      <c r="D314" s="25" t="s">
        <v>301</v>
      </c>
      <c r="E314" s="28"/>
    </row>
    <row r="315" spans="1:5" ht="17" x14ac:dyDescent="0.2">
      <c r="A315" s="26" t="s">
        <v>244</v>
      </c>
      <c r="B315" s="22">
        <v>2825490</v>
      </c>
      <c r="C315" s="27" t="s">
        <v>76</v>
      </c>
      <c r="D315" s="25" t="s">
        <v>302</v>
      </c>
      <c r="E315" s="28"/>
    </row>
    <row r="316" spans="1:5" ht="17" x14ac:dyDescent="0.2">
      <c r="A316" s="26" t="s">
        <v>244</v>
      </c>
      <c r="E316" s="28"/>
    </row>
    <row r="317" spans="1:5" ht="17" x14ac:dyDescent="0.2">
      <c r="A317" s="50" t="s">
        <v>303</v>
      </c>
      <c r="B317" s="19" t="s">
        <v>10</v>
      </c>
      <c r="C317" s="19" t="s">
        <v>11</v>
      </c>
      <c r="D317" s="21" t="s">
        <v>12</v>
      </c>
      <c r="E317" s="21" t="s">
        <v>13</v>
      </c>
    </row>
    <row r="318" spans="1:5" ht="17" x14ac:dyDescent="0.2">
      <c r="A318" s="50" t="s">
        <v>303</v>
      </c>
      <c r="B318" s="22">
        <v>182921</v>
      </c>
      <c r="C318" s="27" t="s">
        <v>14</v>
      </c>
      <c r="D318" s="25" t="s">
        <v>304</v>
      </c>
      <c r="E318" s="25" t="s">
        <v>144</v>
      </c>
    </row>
    <row r="319" spans="1:5" ht="17" x14ac:dyDescent="0.2">
      <c r="A319" s="50" t="s">
        <v>303</v>
      </c>
      <c r="B319" s="22">
        <v>784281</v>
      </c>
      <c r="C319" s="27" t="s">
        <v>14</v>
      </c>
      <c r="D319" s="25" t="s">
        <v>305</v>
      </c>
      <c r="E319" s="25" t="str">
        <f>HYPERLINK("https://www.linkedin.com/learning/paths/succeeding-in-sales-during-times-of-volatility","Succeeding in Sales During Times of Volatility")</f>
        <v>Succeeding in Sales During Times of Volatility</v>
      </c>
    </row>
    <row r="320" spans="1:5" ht="17" x14ac:dyDescent="0.2">
      <c r="A320" s="26" t="s">
        <v>303</v>
      </c>
      <c r="B320" s="22">
        <v>2832010</v>
      </c>
      <c r="C320" s="27" t="s">
        <v>17</v>
      </c>
      <c r="D320" s="25" t="s">
        <v>306</v>
      </c>
      <c r="E320" s="25" t="str">
        <f>HYPERLINK("https://www.linkedin.com/learning/paths/master-in-demand-professional-soft-skills","Master In-Demand Professional Soft Skills")</f>
        <v>Master In-Demand Professional Soft Skills</v>
      </c>
    </row>
    <row r="321" spans="1:5" ht="17" x14ac:dyDescent="0.2">
      <c r="A321" s="50" t="s">
        <v>303</v>
      </c>
      <c r="B321" s="22">
        <v>2877045</v>
      </c>
      <c r="C321" s="27" t="s">
        <v>17</v>
      </c>
      <c r="D321" s="25" t="s">
        <v>307</v>
      </c>
      <c r="E321" s="25" t="s">
        <v>308</v>
      </c>
    </row>
    <row r="322" spans="1:5" ht="17" x14ac:dyDescent="0.2">
      <c r="A322" s="50" t="s">
        <v>303</v>
      </c>
      <c r="B322" s="22">
        <v>2870084</v>
      </c>
      <c r="C322" s="27" t="s">
        <v>17</v>
      </c>
      <c r="D322" s="25" t="s">
        <v>62</v>
      </c>
      <c r="E322" s="28"/>
    </row>
    <row r="323" spans="1:5" ht="17" x14ac:dyDescent="0.2">
      <c r="A323" s="50" t="s">
        <v>303</v>
      </c>
      <c r="B323" s="22">
        <v>534584</v>
      </c>
      <c r="C323" s="27" t="s">
        <v>17</v>
      </c>
      <c r="D323" s="25" t="s">
        <v>205</v>
      </c>
      <c r="E323" s="28"/>
    </row>
    <row r="324" spans="1:5" ht="17" x14ac:dyDescent="0.2">
      <c r="A324" s="50" t="s">
        <v>303</v>
      </c>
      <c r="B324" s="22">
        <v>746260</v>
      </c>
      <c r="C324" s="27" t="s">
        <v>17</v>
      </c>
      <c r="D324" s="25" t="s">
        <v>309</v>
      </c>
      <c r="E324" s="28"/>
    </row>
    <row r="325" spans="1:5" ht="17" x14ac:dyDescent="0.2">
      <c r="A325" s="50" t="s">
        <v>303</v>
      </c>
      <c r="B325" s="22">
        <v>423244</v>
      </c>
      <c r="C325" s="23" t="s">
        <v>17</v>
      </c>
      <c r="D325" s="25" t="s">
        <v>310</v>
      </c>
      <c r="E325" s="28"/>
    </row>
    <row r="326" spans="1:5" ht="17" x14ac:dyDescent="0.2">
      <c r="A326" s="50" t="s">
        <v>303</v>
      </c>
      <c r="B326" s="22">
        <v>746303</v>
      </c>
      <c r="C326" s="27" t="s">
        <v>17</v>
      </c>
      <c r="D326" s="25" t="s">
        <v>311</v>
      </c>
      <c r="E326" s="28"/>
    </row>
    <row r="327" spans="1:5" ht="17" x14ac:dyDescent="0.2">
      <c r="A327" s="50" t="s">
        <v>303</v>
      </c>
      <c r="B327" s="22">
        <v>180863</v>
      </c>
      <c r="C327" s="27" t="s">
        <v>17</v>
      </c>
      <c r="D327" s="25" t="s">
        <v>312</v>
      </c>
      <c r="E327" s="28"/>
    </row>
    <row r="328" spans="1:5" ht="17" x14ac:dyDescent="0.2">
      <c r="A328" s="50" t="s">
        <v>303</v>
      </c>
      <c r="B328" s="22">
        <v>564548</v>
      </c>
      <c r="C328" s="27" t="s">
        <v>17</v>
      </c>
      <c r="D328" s="25" t="s">
        <v>313</v>
      </c>
      <c r="E328" s="28"/>
    </row>
    <row r="329" spans="1:5" ht="17" x14ac:dyDescent="0.2">
      <c r="A329" s="50" t="s">
        <v>303</v>
      </c>
      <c r="B329" s="22">
        <v>2825336</v>
      </c>
      <c r="C329" s="27" t="s">
        <v>17</v>
      </c>
      <c r="D329" s="52" t="s">
        <v>314</v>
      </c>
      <c r="E329" s="28"/>
    </row>
    <row r="330" spans="1:5" ht="17" x14ac:dyDescent="0.2">
      <c r="A330" s="50" t="s">
        <v>303</v>
      </c>
      <c r="B330" s="22">
        <v>2815033</v>
      </c>
      <c r="C330" s="27" t="s">
        <v>70</v>
      </c>
      <c r="D330" s="25" t="s">
        <v>119</v>
      </c>
      <c r="E330" s="28"/>
    </row>
    <row r="331" spans="1:5" ht="17" x14ac:dyDescent="0.2">
      <c r="A331" s="26" t="s">
        <v>303</v>
      </c>
      <c r="B331" s="22">
        <v>2825157</v>
      </c>
      <c r="C331" s="27" t="s">
        <v>70</v>
      </c>
      <c r="D331" s="52" t="s">
        <v>315</v>
      </c>
      <c r="E331" s="28"/>
    </row>
    <row r="332" spans="1:5" ht="17" x14ac:dyDescent="0.2">
      <c r="A332" s="50" t="s">
        <v>303</v>
      </c>
      <c r="B332" s="22">
        <v>622052</v>
      </c>
      <c r="C332" s="30" t="s">
        <v>70</v>
      </c>
      <c r="D332" s="25" t="s">
        <v>316</v>
      </c>
      <c r="E332" s="28"/>
    </row>
    <row r="333" spans="1:5" ht="17" x14ac:dyDescent="0.2">
      <c r="A333" s="50" t="s">
        <v>303</v>
      </c>
      <c r="B333" s="22">
        <v>176760</v>
      </c>
      <c r="C333" s="30" t="s">
        <v>70</v>
      </c>
      <c r="D333" s="25" t="s">
        <v>209</v>
      </c>
      <c r="E333" s="28"/>
    </row>
    <row r="334" spans="1:5" ht="17" x14ac:dyDescent="0.2">
      <c r="A334" s="50" t="s">
        <v>303</v>
      </c>
      <c r="B334" s="22">
        <v>2242042</v>
      </c>
      <c r="C334" s="27" t="s">
        <v>84</v>
      </c>
      <c r="D334" s="52" t="s">
        <v>317</v>
      </c>
      <c r="E334" s="28"/>
    </row>
    <row r="335" spans="1:5" ht="17" x14ac:dyDescent="0.2">
      <c r="A335" s="50" t="s">
        <v>303</v>
      </c>
      <c r="B335" s="22">
        <v>2241055</v>
      </c>
      <c r="C335" s="27" t="s">
        <v>84</v>
      </c>
      <c r="D335" s="52" t="s">
        <v>318</v>
      </c>
      <c r="E335" s="28"/>
    </row>
    <row r="336" spans="1:5" ht="17" x14ac:dyDescent="0.2">
      <c r="A336" s="50" t="s">
        <v>303</v>
      </c>
      <c r="B336" s="22">
        <v>2832037</v>
      </c>
      <c r="C336" s="27" t="s">
        <v>84</v>
      </c>
      <c r="D336" s="52" t="s">
        <v>319</v>
      </c>
      <c r="E336" s="28"/>
    </row>
    <row r="337" spans="1:5" ht="17" x14ac:dyDescent="0.2">
      <c r="A337" s="50" t="s">
        <v>303</v>
      </c>
      <c r="B337" s="22">
        <v>2838111</v>
      </c>
      <c r="C337" s="27" t="s">
        <v>84</v>
      </c>
      <c r="D337" s="52" t="s">
        <v>320</v>
      </c>
      <c r="E337" s="28"/>
    </row>
    <row r="338" spans="1:5" ht="17" x14ac:dyDescent="0.2">
      <c r="A338" s="50" t="s">
        <v>303</v>
      </c>
      <c r="B338" s="22">
        <v>2819030</v>
      </c>
      <c r="C338" s="27" t="s">
        <v>84</v>
      </c>
      <c r="D338" s="25" t="s">
        <v>321</v>
      </c>
      <c r="E338" s="28"/>
    </row>
    <row r="339" spans="1:5" ht="17" x14ac:dyDescent="0.2">
      <c r="A339" s="50" t="s">
        <v>303</v>
      </c>
      <c r="B339" s="22">
        <v>2878126</v>
      </c>
      <c r="C339" s="27" t="s">
        <v>84</v>
      </c>
      <c r="D339" s="25" t="s">
        <v>290</v>
      </c>
      <c r="E339" s="28"/>
    </row>
    <row r="340" spans="1:5" ht="17" x14ac:dyDescent="0.2">
      <c r="A340" s="50" t="s">
        <v>303</v>
      </c>
      <c r="B340" s="22">
        <v>580624</v>
      </c>
      <c r="C340" s="27" t="s">
        <v>76</v>
      </c>
      <c r="D340" s="25" t="s">
        <v>130</v>
      </c>
      <c r="E340" s="28"/>
    </row>
    <row r="341" spans="1:5" ht="17" x14ac:dyDescent="0.2">
      <c r="A341" s="50" t="s">
        <v>303</v>
      </c>
      <c r="B341" s="22">
        <v>656781</v>
      </c>
      <c r="C341" s="27" t="s">
        <v>76</v>
      </c>
      <c r="D341" s="25" t="s">
        <v>182</v>
      </c>
      <c r="E341" s="28"/>
    </row>
    <row r="342" spans="1:5" ht="17" x14ac:dyDescent="0.2">
      <c r="A342" s="50" t="s">
        <v>303</v>
      </c>
      <c r="B342" s="22">
        <v>601769</v>
      </c>
      <c r="C342" s="27" t="s">
        <v>76</v>
      </c>
      <c r="D342" s="25" t="s">
        <v>322</v>
      </c>
      <c r="E342" s="28"/>
    </row>
    <row r="343" spans="1:5" ht="17" x14ac:dyDescent="0.2">
      <c r="A343" s="50" t="s">
        <v>303</v>
      </c>
      <c r="B343" s="22">
        <v>808670</v>
      </c>
      <c r="C343" s="27" t="s">
        <v>76</v>
      </c>
      <c r="D343" s="25" t="s">
        <v>323</v>
      </c>
      <c r="E343" s="28"/>
    </row>
    <row r="344" spans="1:5" ht="17" x14ac:dyDescent="0.2">
      <c r="A344" s="50" t="s">
        <v>303</v>
      </c>
      <c r="B344" s="22">
        <v>746305</v>
      </c>
      <c r="C344" s="27" t="s">
        <v>76</v>
      </c>
      <c r="D344" s="25" t="s">
        <v>324</v>
      </c>
      <c r="E344" s="28"/>
    </row>
    <row r="345" spans="1:5" ht="17" x14ac:dyDescent="0.2">
      <c r="A345" s="50" t="s">
        <v>303</v>
      </c>
      <c r="B345" s="22">
        <v>664804</v>
      </c>
      <c r="C345" s="27" t="s">
        <v>76</v>
      </c>
      <c r="D345" s="25" t="s">
        <v>325</v>
      </c>
      <c r="E345" s="28"/>
    </row>
    <row r="346" spans="1:5" ht="17" x14ac:dyDescent="0.2">
      <c r="A346" s="50" t="s">
        <v>303</v>
      </c>
      <c r="B346" s="22">
        <v>681075</v>
      </c>
      <c r="C346" s="27" t="s">
        <v>76</v>
      </c>
      <c r="D346" s="25" t="s">
        <v>186</v>
      </c>
      <c r="E346" s="28"/>
    </row>
    <row r="347" spans="1:5" ht="17" x14ac:dyDescent="0.2">
      <c r="A347" s="50" t="s">
        <v>303</v>
      </c>
      <c r="B347" s="22">
        <v>2820193</v>
      </c>
      <c r="C347" s="27" t="s">
        <v>76</v>
      </c>
      <c r="D347" s="52" t="s">
        <v>326</v>
      </c>
      <c r="E347" s="28"/>
    </row>
    <row r="348" spans="1:5" ht="17" x14ac:dyDescent="0.2">
      <c r="A348" s="50" t="s">
        <v>303</v>
      </c>
      <c r="B348" s="22">
        <v>2822466</v>
      </c>
      <c r="C348" s="27" t="s">
        <v>76</v>
      </c>
      <c r="D348" s="52" t="s">
        <v>327</v>
      </c>
      <c r="E348" s="28"/>
    </row>
    <row r="349" spans="1:5" ht="17" x14ac:dyDescent="0.2">
      <c r="A349" s="50" t="s">
        <v>303</v>
      </c>
      <c r="B349" s="22">
        <v>2823547</v>
      </c>
      <c r="C349" s="27" t="s">
        <v>76</v>
      </c>
      <c r="D349" s="52" t="s">
        <v>328</v>
      </c>
      <c r="E349" s="28"/>
    </row>
    <row r="350" spans="1:5" ht="34" x14ac:dyDescent="0.2">
      <c r="A350" s="26" t="s">
        <v>329</v>
      </c>
      <c r="B350" s="19" t="s">
        <v>10</v>
      </c>
      <c r="C350" s="19" t="s">
        <v>11</v>
      </c>
      <c r="D350" s="21" t="s">
        <v>12</v>
      </c>
      <c r="E350" s="21" t="s">
        <v>13</v>
      </c>
    </row>
    <row r="351" spans="1:5" ht="34" x14ac:dyDescent="0.2">
      <c r="A351" s="26" t="s">
        <v>329</v>
      </c>
      <c r="B351" s="22">
        <v>624312</v>
      </c>
      <c r="C351" s="27" t="s">
        <v>14</v>
      </c>
      <c r="D351" s="25" t="s">
        <v>330</v>
      </c>
      <c r="E351" s="24" t="str">
        <f>HYPERLINK("https://www.linkedin.com/learning/paths/become-a-content-strategist-2","Become a Content Strategist")</f>
        <v>Become a Content Strategist</v>
      </c>
    </row>
    <row r="352" spans="1:5" ht="34" x14ac:dyDescent="0.2">
      <c r="A352" s="26" t="s">
        <v>329</v>
      </c>
      <c r="B352" s="22">
        <v>2801190</v>
      </c>
      <c r="C352" s="27" t="s">
        <v>14</v>
      </c>
      <c r="D352" s="52" t="str">
        <f>HYPERLINK("https://www.linkedin.com/learning/value-based-pricing-2019","Pricing Strategy: Value-Based Pricing")</f>
        <v>Pricing Strategy: Value-Based Pricing</v>
      </c>
      <c r="E352" s="24" t="str">
        <f>HYPERLINK("https://www.linkedin.com/learning/paths/become-a-digital-advertising-specialist","Become a Digital Advertising Specialist")</f>
        <v>Become a Digital Advertising Specialist</v>
      </c>
    </row>
    <row r="353" spans="1:5" ht="34" x14ac:dyDescent="0.2">
      <c r="A353" s="26" t="s">
        <v>329</v>
      </c>
      <c r="B353" s="22">
        <v>2807866</v>
      </c>
      <c r="C353" s="27" t="s">
        <v>14</v>
      </c>
      <c r="D353" s="25" t="s">
        <v>331</v>
      </c>
      <c r="E353" s="24" t="str">
        <f>HYPERLINK("https://www.linkedin.com/learning/paths/become-a-digital-marketer","Become a Digital Marketer")</f>
        <v>Become a Digital Marketer</v>
      </c>
    </row>
    <row r="354" spans="1:5" ht="34" x14ac:dyDescent="0.2">
      <c r="A354" s="26" t="s">
        <v>329</v>
      </c>
      <c r="B354" s="22">
        <v>5038215</v>
      </c>
      <c r="C354" s="27" t="s">
        <v>14</v>
      </c>
      <c r="D354" s="25" t="s">
        <v>332</v>
      </c>
      <c r="E354" s="24" t="s">
        <v>333</v>
      </c>
    </row>
    <row r="355" spans="1:5" ht="34" x14ac:dyDescent="0.2">
      <c r="A355" s="26" t="s">
        <v>329</v>
      </c>
      <c r="B355" s="22">
        <v>2814043</v>
      </c>
      <c r="C355" s="27" t="s">
        <v>14</v>
      </c>
      <c r="D355" s="25" t="s">
        <v>334</v>
      </c>
      <c r="E355" s="24" t="s">
        <v>335</v>
      </c>
    </row>
    <row r="356" spans="1:5" ht="34" x14ac:dyDescent="0.2">
      <c r="A356" s="26" t="s">
        <v>329</v>
      </c>
      <c r="B356" s="22">
        <v>2817028</v>
      </c>
      <c r="C356" s="27" t="s">
        <v>14</v>
      </c>
      <c r="D356" s="25" t="s">
        <v>336</v>
      </c>
      <c r="E356" s="24" t="str">
        <f>HYPERLINK("https://www.linkedin.com/learning/paths/become-a-marketing-manager","Become a Marketing Manager")</f>
        <v>Become a Marketing Manager</v>
      </c>
    </row>
    <row r="357" spans="1:5" ht="34" x14ac:dyDescent="0.2">
      <c r="A357" s="26" t="s">
        <v>329</v>
      </c>
      <c r="B357" s="22">
        <v>2823074</v>
      </c>
      <c r="C357" s="27" t="s">
        <v>14</v>
      </c>
      <c r="D357" s="25" t="s">
        <v>337</v>
      </c>
      <c r="E357" s="24" t="str">
        <f>HYPERLINK("https://www.linkedin.com/learning/paths/become-a-marketing-specialist-2","Become a Marketing Specialist")</f>
        <v>Become a Marketing Specialist</v>
      </c>
    </row>
    <row r="358" spans="1:5" ht="34" x14ac:dyDescent="0.2">
      <c r="A358" s="26" t="s">
        <v>329</v>
      </c>
      <c r="B358" s="22">
        <v>2823517</v>
      </c>
      <c r="C358" s="27" t="s">
        <v>14</v>
      </c>
      <c r="D358" s="25" t="s">
        <v>338</v>
      </c>
      <c r="E358" s="24" t="str">
        <f>HYPERLINK("https://www.linkedin.com/learning/paths/become-a-public-relations-specialist","Become a Public Relations Specialist")</f>
        <v>Become a Public Relations Specialist</v>
      </c>
    </row>
    <row r="359" spans="1:5" ht="34" x14ac:dyDescent="0.2">
      <c r="A359" s="26" t="s">
        <v>329</v>
      </c>
      <c r="B359" s="22">
        <v>2824363</v>
      </c>
      <c r="C359" s="27" t="s">
        <v>14</v>
      </c>
      <c r="D359" s="25" t="s">
        <v>339</v>
      </c>
      <c r="E359" s="24" t="str">
        <f>HYPERLINK("https://www.linkedin.com/learning/paths/become-a-social-media-advertising-specialist","Become a Social Media Advertising Specialist")</f>
        <v>Become a Social Media Advertising Specialist</v>
      </c>
    </row>
    <row r="360" spans="1:5" ht="34" x14ac:dyDescent="0.2">
      <c r="A360" s="26" t="s">
        <v>329</v>
      </c>
      <c r="B360" s="22">
        <v>2838174</v>
      </c>
      <c r="C360" s="27" t="s">
        <v>14</v>
      </c>
      <c r="D360" s="25" t="s">
        <v>340</v>
      </c>
      <c r="E360" s="24" t="str">
        <f>HYPERLINK("https://www.linkedin.com/learning/paths/become-a-social-media-marketer","Become a Social Media Marketer")</f>
        <v>Become a Social Media Marketer</v>
      </c>
    </row>
    <row r="361" spans="1:5" ht="34" x14ac:dyDescent="0.2">
      <c r="A361" s="26" t="s">
        <v>329</v>
      </c>
      <c r="B361" s="22">
        <v>656805</v>
      </c>
      <c r="C361" s="27" t="s">
        <v>17</v>
      </c>
      <c r="D361" s="25" t="s">
        <v>341</v>
      </c>
      <c r="E361" s="24" t="str">
        <f>HYPERLINK("https://www.linkedin.com/learning/paths/become-an-ama-professional-certified-marketer-in-digital-marketing","Become an AMA Professional Certified Marketer in Digital Marketing")</f>
        <v>Become an AMA Professional Certified Marketer in Digital Marketing</v>
      </c>
    </row>
    <row r="362" spans="1:5" ht="34" x14ac:dyDescent="0.2">
      <c r="A362" s="26" t="s">
        <v>329</v>
      </c>
      <c r="B362" s="22">
        <v>737794</v>
      </c>
      <c r="C362" s="27" t="s">
        <v>17</v>
      </c>
      <c r="D362" s="25" t="s">
        <v>342</v>
      </c>
      <c r="E362" s="24" t="str">
        <f>HYPERLINK("https://www.linkedin.com/learning/paths/become-an-online-marketing-manager","Become an Online Marketing Manager")</f>
        <v>Become an Online Marketing Manager</v>
      </c>
    </row>
    <row r="363" spans="1:5" ht="34" x14ac:dyDescent="0.2">
      <c r="A363" s="26" t="s">
        <v>329</v>
      </c>
      <c r="B363" s="22">
        <v>5010662</v>
      </c>
      <c r="C363" s="23" t="s">
        <v>17</v>
      </c>
      <c r="D363" s="25" t="s">
        <v>343</v>
      </c>
      <c r="E363" s="24" t="s">
        <v>344</v>
      </c>
    </row>
    <row r="364" spans="1:5" ht="34" x14ac:dyDescent="0.2">
      <c r="A364" s="26" t="s">
        <v>329</v>
      </c>
      <c r="B364" s="22">
        <v>157305</v>
      </c>
      <c r="C364" s="27" t="s">
        <v>17</v>
      </c>
      <c r="D364" s="25" t="s">
        <v>345</v>
      </c>
      <c r="E364" s="24" t="str">
        <f>HYPERLINK("https://www.linkedin.com/learning/paths/improve-your-digital-marketing-skills","Improve your Digital Marketing Skills")</f>
        <v>Improve your Digital Marketing Skills</v>
      </c>
    </row>
    <row r="365" spans="1:5" ht="34" x14ac:dyDescent="0.2">
      <c r="A365" s="26" t="s">
        <v>329</v>
      </c>
      <c r="B365" s="22">
        <v>601813</v>
      </c>
      <c r="C365" s="27" t="s">
        <v>17</v>
      </c>
      <c r="D365" s="25" t="s">
        <v>346</v>
      </c>
    </row>
    <row r="366" spans="1:5" ht="34" x14ac:dyDescent="0.2">
      <c r="A366" s="26" t="s">
        <v>329</v>
      </c>
      <c r="B366" s="22">
        <v>192458</v>
      </c>
      <c r="C366" s="27" t="s">
        <v>17</v>
      </c>
      <c r="D366" s="25" t="s">
        <v>347</v>
      </c>
    </row>
    <row r="367" spans="1:5" ht="34" x14ac:dyDescent="0.2">
      <c r="A367" s="26" t="s">
        <v>329</v>
      </c>
      <c r="B367" s="29">
        <v>2808539</v>
      </c>
      <c r="C367" s="27" t="s">
        <v>17</v>
      </c>
      <c r="D367" s="34" t="s">
        <v>348</v>
      </c>
    </row>
    <row r="368" spans="1:5" ht="34" x14ac:dyDescent="0.2">
      <c r="A368" s="26" t="s">
        <v>329</v>
      </c>
      <c r="B368" s="22">
        <v>737795</v>
      </c>
      <c r="C368" s="27" t="s">
        <v>17</v>
      </c>
      <c r="D368" s="25" t="s">
        <v>349</v>
      </c>
      <c r="E368" s="28"/>
    </row>
    <row r="369" spans="1:5" ht="34" x14ac:dyDescent="0.2">
      <c r="A369" s="26" t="s">
        <v>329</v>
      </c>
      <c r="B369" s="22">
        <v>672872</v>
      </c>
      <c r="C369" s="27" t="s">
        <v>17</v>
      </c>
      <c r="D369" s="25" t="s">
        <v>350</v>
      </c>
      <c r="E369" s="28"/>
    </row>
    <row r="370" spans="1:5" ht="34" x14ac:dyDescent="0.2">
      <c r="A370" s="26" t="s">
        <v>329</v>
      </c>
      <c r="B370" s="22">
        <v>728408</v>
      </c>
      <c r="C370" s="27" t="s">
        <v>17</v>
      </c>
      <c r="D370" s="25" t="s">
        <v>351</v>
      </c>
      <c r="E370" s="28"/>
    </row>
    <row r="371" spans="1:5" ht="34" x14ac:dyDescent="0.2">
      <c r="A371" s="26" t="s">
        <v>329</v>
      </c>
      <c r="B371" s="22">
        <v>693114</v>
      </c>
      <c r="C371" s="27" t="s">
        <v>17</v>
      </c>
      <c r="D371" s="25" t="s">
        <v>352</v>
      </c>
      <c r="E371" s="28"/>
    </row>
    <row r="372" spans="1:5" ht="34" x14ac:dyDescent="0.2">
      <c r="A372" s="26" t="s">
        <v>329</v>
      </c>
      <c r="B372" s="22">
        <v>711801</v>
      </c>
      <c r="C372" s="27" t="s">
        <v>17</v>
      </c>
      <c r="D372" s="25" t="s">
        <v>353</v>
      </c>
      <c r="E372" s="28"/>
    </row>
    <row r="373" spans="1:5" ht="34" x14ac:dyDescent="0.2">
      <c r="A373" s="26" t="s">
        <v>329</v>
      </c>
      <c r="B373" s="22">
        <v>737788</v>
      </c>
      <c r="C373" s="27" t="s">
        <v>17</v>
      </c>
      <c r="D373" s="25" t="s">
        <v>354</v>
      </c>
      <c r="E373" s="28"/>
    </row>
    <row r="374" spans="1:5" ht="34" x14ac:dyDescent="0.2">
      <c r="A374" s="26" t="s">
        <v>329</v>
      </c>
      <c r="B374" s="22">
        <v>656807</v>
      </c>
      <c r="C374" s="27" t="s">
        <v>17</v>
      </c>
      <c r="D374" s="25" t="s">
        <v>355</v>
      </c>
      <c r="E374" s="28"/>
    </row>
    <row r="375" spans="1:5" ht="34" x14ac:dyDescent="0.2">
      <c r="A375" s="26" t="s">
        <v>329</v>
      </c>
      <c r="B375" s="22">
        <v>2211320</v>
      </c>
      <c r="C375" s="27" t="s">
        <v>17</v>
      </c>
      <c r="D375" s="25" t="s">
        <v>356</v>
      </c>
      <c r="E375" s="28"/>
    </row>
    <row r="376" spans="1:5" ht="34" x14ac:dyDescent="0.2">
      <c r="A376" s="26" t="s">
        <v>329</v>
      </c>
      <c r="B376" s="22">
        <v>2213242</v>
      </c>
      <c r="C376" s="27" t="s">
        <v>17</v>
      </c>
      <c r="D376" s="25" t="s">
        <v>357</v>
      </c>
      <c r="E376" s="28"/>
    </row>
    <row r="377" spans="1:5" ht="34" x14ac:dyDescent="0.2">
      <c r="A377" s="26" t="s">
        <v>329</v>
      </c>
      <c r="B377" s="22">
        <v>2810407</v>
      </c>
      <c r="C377" s="27" t="s">
        <v>17</v>
      </c>
      <c r="D377" s="25" t="s">
        <v>358</v>
      </c>
      <c r="E377" s="28"/>
    </row>
    <row r="378" spans="1:5" ht="34" x14ac:dyDescent="0.2">
      <c r="A378" s="26" t="s">
        <v>329</v>
      </c>
      <c r="B378" s="22">
        <v>2813304</v>
      </c>
      <c r="C378" s="27" t="s">
        <v>17</v>
      </c>
      <c r="D378" s="25" t="s">
        <v>359</v>
      </c>
      <c r="E378" s="28"/>
    </row>
    <row r="379" spans="1:5" ht="34" x14ac:dyDescent="0.2">
      <c r="A379" s="26" t="s">
        <v>329</v>
      </c>
      <c r="B379" s="22">
        <v>2815149</v>
      </c>
      <c r="C379" s="27" t="s">
        <v>17</v>
      </c>
      <c r="D379" s="25" t="s">
        <v>360</v>
      </c>
      <c r="E379" s="28"/>
    </row>
    <row r="380" spans="1:5" ht="34" x14ac:dyDescent="0.2">
      <c r="A380" s="26" t="s">
        <v>329</v>
      </c>
      <c r="B380" s="22">
        <v>2815150</v>
      </c>
      <c r="C380" s="27" t="s">
        <v>17</v>
      </c>
      <c r="D380" s="25" t="s">
        <v>361</v>
      </c>
      <c r="E380" s="28"/>
    </row>
    <row r="381" spans="1:5" ht="34" x14ac:dyDescent="0.2">
      <c r="A381" s="26" t="s">
        <v>329</v>
      </c>
      <c r="B381" s="22">
        <v>2816003</v>
      </c>
      <c r="C381" s="27" t="s">
        <v>17</v>
      </c>
      <c r="D381" s="25" t="s">
        <v>362</v>
      </c>
      <c r="E381" s="28"/>
    </row>
    <row r="382" spans="1:5" ht="34" x14ac:dyDescent="0.2">
      <c r="A382" s="26" t="s">
        <v>329</v>
      </c>
      <c r="B382" s="22">
        <v>5035823</v>
      </c>
      <c r="C382" s="27" t="s">
        <v>17</v>
      </c>
      <c r="D382" s="25" t="s">
        <v>363</v>
      </c>
      <c r="E382" s="28"/>
    </row>
    <row r="383" spans="1:5" ht="34" x14ac:dyDescent="0.2">
      <c r="A383" s="26" t="s">
        <v>329</v>
      </c>
      <c r="B383" s="22">
        <v>5035824</v>
      </c>
      <c r="C383" s="27" t="s">
        <v>17</v>
      </c>
      <c r="D383" s="25" t="s">
        <v>364</v>
      </c>
      <c r="E383" s="28"/>
    </row>
    <row r="384" spans="1:5" ht="34" x14ac:dyDescent="0.2">
      <c r="A384" s="26" t="s">
        <v>329</v>
      </c>
      <c r="B384" s="22">
        <v>5038216</v>
      </c>
      <c r="C384" s="27" t="s">
        <v>17</v>
      </c>
      <c r="D384" s="25" t="s">
        <v>365</v>
      </c>
      <c r="E384" s="28"/>
    </row>
    <row r="385" spans="1:5" ht="34" x14ac:dyDescent="0.2">
      <c r="A385" s="26" t="s">
        <v>329</v>
      </c>
      <c r="B385" s="22">
        <v>2809360</v>
      </c>
      <c r="C385" s="27" t="s">
        <v>17</v>
      </c>
      <c r="D385" s="25" t="s">
        <v>366</v>
      </c>
      <c r="E385" s="28"/>
    </row>
    <row r="386" spans="1:5" ht="34" x14ac:dyDescent="0.2">
      <c r="A386" s="26" t="s">
        <v>329</v>
      </c>
      <c r="B386" s="22">
        <v>2813226</v>
      </c>
      <c r="C386" s="27" t="s">
        <v>17</v>
      </c>
      <c r="D386" s="25" t="s">
        <v>367</v>
      </c>
      <c r="E386" s="28"/>
    </row>
    <row r="387" spans="1:5" ht="34" x14ac:dyDescent="0.2">
      <c r="A387" s="26" t="s">
        <v>329</v>
      </c>
      <c r="B387" s="22">
        <v>2814166</v>
      </c>
      <c r="C387" s="27" t="s">
        <v>17</v>
      </c>
      <c r="D387" s="25" t="s">
        <v>368</v>
      </c>
      <c r="E387" s="28"/>
    </row>
    <row r="388" spans="1:5" ht="34" x14ac:dyDescent="0.2">
      <c r="A388" s="26" t="s">
        <v>329</v>
      </c>
      <c r="B388" s="22">
        <v>2815022</v>
      </c>
      <c r="C388" s="27" t="s">
        <v>17</v>
      </c>
      <c r="D388" s="25" t="s">
        <v>369</v>
      </c>
      <c r="E388" s="28"/>
    </row>
    <row r="389" spans="1:5" ht="34" x14ac:dyDescent="0.2">
      <c r="A389" s="26" t="s">
        <v>329</v>
      </c>
      <c r="B389" s="22">
        <v>2816008</v>
      </c>
      <c r="C389" s="27" t="s">
        <v>17</v>
      </c>
      <c r="D389" s="25" t="s">
        <v>370</v>
      </c>
      <c r="E389" s="28"/>
    </row>
    <row r="390" spans="1:5" ht="34" x14ac:dyDescent="0.2">
      <c r="A390" s="26" t="s">
        <v>329</v>
      </c>
      <c r="B390" s="22">
        <v>2817190</v>
      </c>
      <c r="C390" s="27" t="s">
        <v>17</v>
      </c>
      <c r="D390" s="25" t="s">
        <v>371</v>
      </c>
      <c r="E390" s="28"/>
    </row>
    <row r="391" spans="1:5" ht="34" x14ac:dyDescent="0.2">
      <c r="A391" s="26" t="s">
        <v>329</v>
      </c>
      <c r="B391" s="22">
        <v>2820163</v>
      </c>
      <c r="C391" s="27" t="s">
        <v>17</v>
      </c>
      <c r="D391" s="25" t="s">
        <v>372</v>
      </c>
      <c r="E391" s="28"/>
    </row>
    <row r="392" spans="1:5" ht="34" x14ac:dyDescent="0.2">
      <c r="A392" s="26" t="s">
        <v>329</v>
      </c>
      <c r="B392" s="22">
        <v>2822024</v>
      </c>
      <c r="C392" s="27" t="s">
        <v>17</v>
      </c>
      <c r="D392" s="25" t="s">
        <v>373</v>
      </c>
      <c r="E392" s="28"/>
    </row>
    <row r="393" spans="1:5" ht="34" x14ac:dyDescent="0.2">
      <c r="A393" s="26" t="s">
        <v>329</v>
      </c>
      <c r="B393" s="22">
        <v>2822025</v>
      </c>
      <c r="C393" s="27" t="s">
        <v>17</v>
      </c>
      <c r="D393" s="25" t="s">
        <v>374</v>
      </c>
      <c r="E393" s="28"/>
    </row>
    <row r="394" spans="1:5" ht="34" x14ac:dyDescent="0.2">
      <c r="A394" s="26" t="s">
        <v>329</v>
      </c>
      <c r="B394" s="22">
        <v>2823142</v>
      </c>
      <c r="C394" s="27" t="s">
        <v>17</v>
      </c>
      <c r="D394" s="25" t="s">
        <v>375</v>
      </c>
      <c r="E394" s="28"/>
    </row>
    <row r="395" spans="1:5" ht="34" x14ac:dyDescent="0.2">
      <c r="A395" s="26" t="s">
        <v>329</v>
      </c>
      <c r="B395" s="22">
        <v>2825028</v>
      </c>
      <c r="C395" s="27" t="s">
        <v>17</v>
      </c>
      <c r="D395" s="25" t="s">
        <v>376</v>
      </c>
      <c r="E395" s="28"/>
    </row>
    <row r="396" spans="1:5" ht="34" x14ac:dyDescent="0.2">
      <c r="A396" s="26" t="s">
        <v>329</v>
      </c>
      <c r="B396" s="22">
        <v>2825058</v>
      </c>
      <c r="C396" s="27" t="s">
        <v>17</v>
      </c>
      <c r="D396" s="25" t="s">
        <v>377</v>
      </c>
      <c r="E396" s="28"/>
    </row>
    <row r="397" spans="1:5" ht="34" x14ac:dyDescent="0.2">
      <c r="A397" s="26" t="s">
        <v>329</v>
      </c>
      <c r="B397" s="22">
        <v>2825133</v>
      </c>
      <c r="C397" s="27" t="s">
        <v>17</v>
      </c>
      <c r="D397" s="25" t="s">
        <v>378</v>
      </c>
      <c r="E397" s="28"/>
    </row>
    <row r="398" spans="1:5" ht="34" x14ac:dyDescent="0.2">
      <c r="A398" s="26" t="s">
        <v>329</v>
      </c>
      <c r="B398" s="22">
        <v>2825441</v>
      </c>
      <c r="C398" s="27" t="s">
        <v>17</v>
      </c>
      <c r="D398" s="25" t="s">
        <v>379</v>
      </c>
      <c r="E398" s="28"/>
    </row>
    <row r="399" spans="1:5" ht="34" x14ac:dyDescent="0.2">
      <c r="A399" s="26" t="s">
        <v>329</v>
      </c>
      <c r="B399" s="22">
        <v>5038214</v>
      </c>
      <c r="C399" s="27" t="s">
        <v>17</v>
      </c>
      <c r="D399" s="25" t="s">
        <v>380</v>
      </c>
      <c r="E399" s="28"/>
    </row>
    <row r="400" spans="1:5" ht="34" x14ac:dyDescent="0.2">
      <c r="A400" s="26" t="s">
        <v>329</v>
      </c>
      <c r="B400" s="22">
        <v>2822427</v>
      </c>
      <c r="C400" s="27" t="s">
        <v>17</v>
      </c>
      <c r="D400" s="25" t="s">
        <v>381</v>
      </c>
      <c r="E400" s="28"/>
    </row>
    <row r="401" spans="1:5" ht="34" x14ac:dyDescent="0.2">
      <c r="A401" s="26" t="s">
        <v>329</v>
      </c>
      <c r="B401" s="22">
        <v>2822636</v>
      </c>
      <c r="C401" s="27" t="s">
        <v>17</v>
      </c>
      <c r="D401" s="25" t="s">
        <v>382</v>
      </c>
      <c r="E401" s="28"/>
    </row>
    <row r="402" spans="1:5" ht="34" x14ac:dyDescent="0.2">
      <c r="A402" s="26" t="s">
        <v>329</v>
      </c>
      <c r="B402" s="22">
        <v>2823346</v>
      </c>
      <c r="C402" s="27" t="s">
        <v>17</v>
      </c>
      <c r="D402" s="25" t="s">
        <v>383</v>
      </c>
      <c r="E402" s="28"/>
    </row>
    <row r="403" spans="1:5" ht="34" x14ac:dyDescent="0.2">
      <c r="A403" s="26" t="s">
        <v>329</v>
      </c>
      <c r="B403" s="22">
        <v>2823516</v>
      </c>
      <c r="C403" s="27" t="s">
        <v>17</v>
      </c>
      <c r="D403" s="25" t="s">
        <v>384</v>
      </c>
      <c r="E403" s="28"/>
    </row>
    <row r="404" spans="1:5" ht="34" x14ac:dyDescent="0.2">
      <c r="A404" s="26" t="s">
        <v>329</v>
      </c>
      <c r="B404" s="22">
        <v>2822476</v>
      </c>
      <c r="C404" s="27" t="s">
        <v>17</v>
      </c>
      <c r="D404" s="25" t="s">
        <v>385</v>
      </c>
      <c r="E404" s="28"/>
    </row>
    <row r="405" spans="1:5" ht="34" x14ac:dyDescent="0.2">
      <c r="A405" s="26" t="s">
        <v>329</v>
      </c>
      <c r="B405" s="22">
        <v>2822646</v>
      </c>
      <c r="C405" s="27" t="s">
        <v>17</v>
      </c>
      <c r="D405" s="25" t="s">
        <v>386</v>
      </c>
      <c r="E405" s="28"/>
    </row>
    <row r="406" spans="1:5" ht="34" x14ac:dyDescent="0.2">
      <c r="A406" s="26" t="s">
        <v>329</v>
      </c>
      <c r="B406" s="22">
        <v>2823493</v>
      </c>
      <c r="C406" s="27" t="s">
        <v>17</v>
      </c>
      <c r="D406" s="25" t="s">
        <v>387</v>
      </c>
      <c r="E406" s="28"/>
    </row>
    <row r="407" spans="1:5" ht="34" x14ac:dyDescent="0.2">
      <c r="A407" s="26" t="s">
        <v>329</v>
      </c>
      <c r="B407" s="22">
        <v>2824266</v>
      </c>
      <c r="C407" s="27" t="s">
        <v>17</v>
      </c>
      <c r="D407" s="25" t="s">
        <v>388</v>
      </c>
      <c r="E407" s="28"/>
    </row>
    <row r="408" spans="1:5" ht="34" x14ac:dyDescent="0.2">
      <c r="A408" s="26" t="s">
        <v>329</v>
      </c>
      <c r="B408" s="22">
        <v>2824270</v>
      </c>
      <c r="C408" s="27" t="s">
        <v>17</v>
      </c>
      <c r="D408" s="25" t="s">
        <v>389</v>
      </c>
      <c r="E408" s="28"/>
    </row>
    <row r="409" spans="1:5" ht="34" x14ac:dyDescent="0.2">
      <c r="A409" s="26" t="s">
        <v>329</v>
      </c>
      <c r="B409" s="22">
        <v>2822317</v>
      </c>
      <c r="C409" s="27" t="s">
        <v>17</v>
      </c>
      <c r="D409" s="25" t="s">
        <v>390</v>
      </c>
      <c r="E409" s="28"/>
    </row>
    <row r="410" spans="1:5" ht="34" x14ac:dyDescent="0.2">
      <c r="A410" s="26" t="s">
        <v>329</v>
      </c>
      <c r="B410" s="22">
        <v>2975164</v>
      </c>
      <c r="C410" s="27" t="s">
        <v>17</v>
      </c>
      <c r="D410" s="25" t="s">
        <v>391</v>
      </c>
      <c r="E410" s="28"/>
    </row>
    <row r="411" spans="1:5" ht="34" x14ac:dyDescent="0.2">
      <c r="A411" s="26" t="s">
        <v>329</v>
      </c>
      <c r="B411" s="22">
        <v>2825620</v>
      </c>
      <c r="C411" s="27" t="s">
        <v>17</v>
      </c>
      <c r="D411" s="25" t="s">
        <v>392</v>
      </c>
      <c r="E411" s="28"/>
    </row>
    <row r="412" spans="1:5" ht="34" x14ac:dyDescent="0.2">
      <c r="A412" s="26" t="s">
        <v>329</v>
      </c>
      <c r="B412" s="22">
        <v>2823572</v>
      </c>
      <c r="C412" s="27" t="s">
        <v>17</v>
      </c>
      <c r="D412" s="25" t="s">
        <v>393</v>
      </c>
      <c r="E412" s="28"/>
    </row>
    <row r="413" spans="1:5" ht="34" x14ac:dyDescent="0.2">
      <c r="A413" s="26" t="s">
        <v>329</v>
      </c>
      <c r="B413" s="22">
        <v>2822696</v>
      </c>
      <c r="C413" s="27" t="s">
        <v>17</v>
      </c>
      <c r="D413" s="25" t="s">
        <v>394</v>
      </c>
      <c r="E413" s="28"/>
    </row>
    <row r="414" spans="1:5" ht="34" x14ac:dyDescent="0.2">
      <c r="A414" s="26" t="s">
        <v>329</v>
      </c>
      <c r="B414" s="22">
        <v>2823594</v>
      </c>
      <c r="C414" s="27" t="s">
        <v>17</v>
      </c>
      <c r="D414" s="25" t="s">
        <v>395</v>
      </c>
      <c r="E414" s="28"/>
    </row>
    <row r="415" spans="1:5" ht="34" x14ac:dyDescent="0.2">
      <c r="A415" s="26" t="s">
        <v>329</v>
      </c>
      <c r="B415" s="22">
        <v>2825707</v>
      </c>
      <c r="C415" s="27" t="s">
        <v>17</v>
      </c>
      <c r="D415" s="25" t="s">
        <v>396</v>
      </c>
      <c r="E415" s="28"/>
    </row>
    <row r="416" spans="1:5" ht="34" x14ac:dyDescent="0.2">
      <c r="A416" s="26" t="s">
        <v>329</v>
      </c>
      <c r="B416" s="22">
        <v>2835091</v>
      </c>
      <c r="C416" s="27" t="s">
        <v>17</v>
      </c>
      <c r="D416" s="25" t="s">
        <v>397</v>
      </c>
      <c r="E416" s="28"/>
    </row>
    <row r="417" spans="1:5" ht="34" x14ac:dyDescent="0.2">
      <c r="A417" s="26" t="s">
        <v>329</v>
      </c>
      <c r="B417" s="22">
        <v>2841308</v>
      </c>
      <c r="C417" s="27" t="s">
        <v>17</v>
      </c>
      <c r="D417" s="25" t="s">
        <v>398</v>
      </c>
      <c r="E417" s="28"/>
    </row>
    <row r="418" spans="1:5" ht="34" x14ac:dyDescent="0.2">
      <c r="A418" s="26" t="s">
        <v>329</v>
      </c>
      <c r="B418" s="22">
        <v>2848244</v>
      </c>
      <c r="C418" s="27" t="s">
        <v>17</v>
      </c>
      <c r="D418" s="25" t="s">
        <v>399</v>
      </c>
      <c r="E418" s="28"/>
    </row>
    <row r="419" spans="1:5" ht="34" x14ac:dyDescent="0.2">
      <c r="A419" s="26" t="s">
        <v>329</v>
      </c>
      <c r="B419" s="22">
        <v>2871157</v>
      </c>
      <c r="C419" s="27" t="s">
        <v>17</v>
      </c>
      <c r="D419" s="25" t="s">
        <v>400</v>
      </c>
      <c r="E419" s="28"/>
    </row>
    <row r="420" spans="1:5" ht="34" x14ac:dyDescent="0.2">
      <c r="A420" s="26" t="s">
        <v>329</v>
      </c>
      <c r="B420" s="22">
        <v>2832068</v>
      </c>
      <c r="C420" s="27" t="s">
        <v>17</v>
      </c>
      <c r="D420" s="25" t="s">
        <v>401</v>
      </c>
      <c r="E420" s="28"/>
    </row>
    <row r="421" spans="1:5" ht="34" x14ac:dyDescent="0.2">
      <c r="A421" s="26" t="s">
        <v>329</v>
      </c>
      <c r="B421" s="22">
        <v>2841614</v>
      </c>
      <c r="C421" s="27" t="s">
        <v>17</v>
      </c>
      <c r="D421" s="25" t="s">
        <v>402</v>
      </c>
      <c r="E421" s="28"/>
    </row>
    <row r="422" spans="1:5" ht="34" x14ac:dyDescent="0.2">
      <c r="A422" s="26" t="s">
        <v>329</v>
      </c>
      <c r="B422" s="22">
        <v>2871077</v>
      </c>
      <c r="C422" s="27" t="s">
        <v>17</v>
      </c>
      <c r="D422" s="25" t="s">
        <v>403</v>
      </c>
      <c r="E422" s="28"/>
    </row>
    <row r="423" spans="1:5" ht="34" x14ac:dyDescent="0.2">
      <c r="A423" s="26" t="s">
        <v>329</v>
      </c>
      <c r="B423" s="22">
        <v>2282152</v>
      </c>
      <c r="C423" s="27" t="s">
        <v>17</v>
      </c>
      <c r="D423" s="25" t="s">
        <v>404</v>
      </c>
      <c r="E423" s="28"/>
    </row>
    <row r="424" spans="1:5" ht="34" x14ac:dyDescent="0.2">
      <c r="A424" s="26" t="s">
        <v>329</v>
      </c>
      <c r="B424" s="22">
        <v>2841524</v>
      </c>
      <c r="C424" s="27" t="s">
        <v>17</v>
      </c>
      <c r="D424" s="25" t="s">
        <v>405</v>
      </c>
      <c r="E424" s="28"/>
    </row>
    <row r="425" spans="1:5" ht="34" x14ac:dyDescent="0.2">
      <c r="A425" s="26" t="s">
        <v>329</v>
      </c>
      <c r="B425" s="22">
        <v>2210431</v>
      </c>
      <c r="C425" s="27" t="s">
        <v>70</v>
      </c>
      <c r="D425" s="25" t="s">
        <v>406</v>
      </c>
      <c r="E425" s="28"/>
    </row>
    <row r="426" spans="1:5" ht="34" x14ac:dyDescent="0.2">
      <c r="A426" s="26" t="s">
        <v>329</v>
      </c>
      <c r="B426" s="22">
        <v>2824237</v>
      </c>
      <c r="C426" s="27" t="s">
        <v>70</v>
      </c>
      <c r="D426" s="25" t="s">
        <v>407</v>
      </c>
      <c r="E426" s="28"/>
    </row>
    <row r="427" spans="1:5" ht="34" x14ac:dyDescent="0.2">
      <c r="A427" s="26" t="s">
        <v>329</v>
      </c>
      <c r="B427" s="22">
        <v>471976</v>
      </c>
      <c r="C427" s="30" t="s">
        <v>70</v>
      </c>
      <c r="D427" s="25" t="s">
        <v>408</v>
      </c>
      <c r="E427" s="28"/>
    </row>
    <row r="428" spans="1:5" ht="34" x14ac:dyDescent="0.2">
      <c r="A428" s="26" t="s">
        <v>329</v>
      </c>
      <c r="B428" s="22">
        <v>728411</v>
      </c>
      <c r="C428" s="30" t="s">
        <v>70</v>
      </c>
      <c r="D428" s="25" t="s">
        <v>409</v>
      </c>
      <c r="E428" s="28"/>
    </row>
    <row r="429" spans="1:5" ht="34" x14ac:dyDescent="0.2">
      <c r="A429" s="26" t="s">
        <v>329</v>
      </c>
      <c r="B429" s="22">
        <v>2811353</v>
      </c>
      <c r="C429" s="30" t="s">
        <v>70</v>
      </c>
      <c r="D429" s="25" t="s">
        <v>403</v>
      </c>
      <c r="E429" s="28"/>
    </row>
    <row r="430" spans="1:5" ht="34" x14ac:dyDescent="0.2">
      <c r="A430" s="26" t="s">
        <v>329</v>
      </c>
      <c r="B430" s="22">
        <v>2818028</v>
      </c>
      <c r="C430" s="30" t="s">
        <v>84</v>
      </c>
      <c r="D430" s="25" t="s">
        <v>410</v>
      </c>
      <c r="E430" s="28"/>
    </row>
    <row r="431" spans="1:5" ht="34" x14ac:dyDescent="0.2">
      <c r="A431" s="26" t="s">
        <v>329</v>
      </c>
      <c r="B431" s="22">
        <v>2838111</v>
      </c>
      <c r="C431" s="30" t="s">
        <v>84</v>
      </c>
      <c r="D431" s="25" t="s">
        <v>320</v>
      </c>
      <c r="E431" s="28"/>
    </row>
    <row r="432" spans="1:5" ht="34" x14ac:dyDescent="0.2">
      <c r="A432" s="26" t="s">
        <v>329</v>
      </c>
      <c r="B432" s="22">
        <v>2841621</v>
      </c>
      <c r="C432" s="30" t="s">
        <v>84</v>
      </c>
      <c r="D432" s="25" t="s">
        <v>411</v>
      </c>
      <c r="E432" s="28"/>
    </row>
    <row r="433" spans="1:5" ht="34" x14ac:dyDescent="0.2">
      <c r="A433" s="26" t="s">
        <v>329</v>
      </c>
      <c r="B433" s="22">
        <v>2849004</v>
      </c>
      <c r="C433" s="30" t="s">
        <v>84</v>
      </c>
      <c r="D433" s="25" t="s">
        <v>412</v>
      </c>
      <c r="E433" s="28"/>
    </row>
    <row r="434" spans="1:5" ht="34" x14ac:dyDescent="0.2">
      <c r="A434" s="26" t="s">
        <v>329</v>
      </c>
      <c r="B434" s="22">
        <v>2849195</v>
      </c>
      <c r="C434" s="30" t="s">
        <v>84</v>
      </c>
      <c r="D434" s="25" t="s">
        <v>413</v>
      </c>
      <c r="E434" s="28"/>
    </row>
    <row r="435" spans="1:5" ht="34" x14ac:dyDescent="0.2">
      <c r="A435" s="26" t="s">
        <v>329</v>
      </c>
      <c r="B435" s="22">
        <v>2871132</v>
      </c>
      <c r="C435" s="30" t="s">
        <v>84</v>
      </c>
      <c r="D435" s="25" t="s">
        <v>414</v>
      </c>
      <c r="E435" s="28"/>
    </row>
    <row r="436" spans="1:5" ht="34" x14ac:dyDescent="0.2">
      <c r="A436" s="26" t="s">
        <v>329</v>
      </c>
      <c r="B436" s="22">
        <v>2836033</v>
      </c>
      <c r="C436" s="27" t="s">
        <v>84</v>
      </c>
      <c r="D436" s="25" t="s">
        <v>415</v>
      </c>
      <c r="E436" s="28"/>
    </row>
    <row r="437" spans="1:5" ht="34" x14ac:dyDescent="0.2">
      <c r="A437" s="26" t="s">
        <v>329</v>
      </c>
      <c r="B437" s="22">
        <v>2870045</v>
      </c>
      <c r="C437" s="27" t="s">
        <v>84</v>
      </c>
      <c r="D437" s="25" t="s">
        <v>416</v>
      </c>
      <c r="E437" s="28"/>
    </row>
    <row r="438" spans="1:5" ht="34" x14ac:dyDescent="0.2">
      <c r="A438" s="26" t="s">
        <v>329</v>
      </c>
      <c r="B438" s="22">
        <v>2834035</v>
      </c>
      <c r="C438" s="27" t="s">
        <v>76</v>
      </c>
      <c r="D438" s="25" t="s">
        <v>417</v>
      </c>
      <c r="E438" s="28"/>
    </row>
    <row r="439" spans="1:5" ht="34" x14ac:dyDescent="0.2">
      <c r="A439" s="26" t="s">
        <v>329</v>
      </c>
      <c r="B439" s="22">
        <v>656809</v>
      </c>
      <c r="C439" s="27" t="s">
        <v>76</v>
      </c>
      <c r="D439" s="25" t="s">
        <v>418</v>
      </c>
      <c r="E439" s="28"/>
    </row>
    <row r="440" spans="1:5" ht="34" x14ac:dyDescent="0.2">
      <c r="A440" s="26" t="s">
        <v>329</v>
      </c>
      <c r="B440" s="22">
        <v>437279</v>
      </c>
      <c r="C440" s="27" t="s">
        <v>76</v>
      </c>
      <c r="D440" s="25" t="s">
        <v>419</v>
      </c>
      <c r="E440" s="28"/>
    </row>
    <row r="441" spans="1:5" ht="34" x14ac:dyDescent="0.2">
      <c r="A441" s="26" t="s">
        <v>329</v>
      </c>
      <c r="B441" s="22">
        <v>514231</v>
      </c>
      <c r="C441" s="27" t="s">
        <v>76</v>
      </c>
      <c r="D441" s="25" t="s">
        <v>420</v>
      </c>
      <c r="E441" s="28"/>
    </row>
    <row r="442" spans="1:5" ht="34" x14ac:dyDescent="0.2">
      <c r="A442" s="26" t="s">
        <v>329</v>
      </c>
      <c r="B442" s="22">
        <v>533306</v>
      </c>
      <c r="C442" s="27" t="s">
        <v>76</v>
      </c>
      <c r="D442" s="25" t="s">
        <v>421</v>
      </c>
      <c r="E442" s="28"/>
    </row>
    <row r="443" spans="1:5" ht="34" x14ac:dyDescent="0.2">
      <c r="A443" s="26" t="s">
        <v>329</v>
      </c>
      <c r="B443" s="22">
        <v>2808548</v>
      </c>
      <c r="C443" s="27" t="s">
        <v>76</v>
      </c>
      <c r="D443" s="25" t="s">
        <v>422</v>
      </c>
      <c r="E443" s="28"/>
    </row>
    <row r="444" spans="1:5" ht="34" x14ac:dyDescent="0.2">
      <c r="A444" s="26" t="s">
        <v>329</v>
      </c>
      <c r="B444" s="22">
        <v>2808550</v>
      </c>
      <c r="C444" s="27" t="s">
        <v>76</v>
      </c>
      <c r="D444" s="25" t="s">
        <v>423</v>
      </c>
      <c r="E444" s="28"/>
    </row>
    <row r="445" spans="1:5" ht="34" x14ac:dyDescent="0.2">
      <c r="A445" s="26" t="s">
        <v>329</v>
      </c>
      <c r="B445" s="22">
        <v>2849196</v>
      </c>
      <c r="C445" s="27" t="s">
        <v>76</v>
      </c>
      <c r="D445" s="25" t="s">
        <v>424</v>
      </c>
      <c r="E445" s="28"/>
    </row>
    <row r="446" spans="1:5" ht="34" x14ac:dyDescent="0.2">
      <c r="A446" s="26" t="s">
        <v>329</v>
      </c>
      <c r="B446" s="22">
        <v>2848248</v>
      </c>
      <c r="C446" s="27" t="s">
        <v>76</v>
      </c>
      <c r="D446" s="25" t="s">
        <v>425</v>
      </c>
      <c r="E446" s="28"/>
    </row>
    <row r="447" spans="1:5" ht="34" x14ac:dyDescent="0.2">
      <c r="A447" s="26" t="s">
        <v>329</v>
      </c>
      <c r="B447" s="22">
        <v>2849044</v>
      </c>
      <c r="C447" s="27" t="s">
        <v>76</v>
      </c>
      <c r="D447" s="25" t="s">
        <v>426</v>
      </c>
      <c r="E447" s="28"/>
    </row>
    <row r="448" spans="1:5" ht="34" x14ac:dyDescent="0.2">
      <c r="A448" s="26" t="s">
        <v>329</v>
      </c>
      <c r="B448" s="22">
        <v>2835079</v>
      </c>
      <c r="C448" s="27" t="s">
        <v>76</v>
      </c>
      <c r="D448" s="25" t="s">
        <v>427</v>
      </c>
      <c r="E448" s="28"/>
    </row>
    <row r="449" spans="1:5" ht="34" x14ac:dyDescent="0.2">
      <c r="A449" s="26" t="s">
        <v>329</v>
      </c>
      <c r="B449" s="22">
        <v>2833101</v>
      </c>
      <c r="C449" s="27" t="s">
        <v>76</v>
      </c>
      <c r="D449" s="25" t="s">
        <v>428</v>
      </c>
      <c r="E449" s="28"/>
    </row>
    <row r="450" spans="1:5" ht="34" x14ac:dyDescent="0.2">
      <c r="A450" s="26" t="s">
        <v>329</v>
      </c>
      <c r="B450" s="22">
        <v>2846059</v>
      </c>
      <c r="C450" s="27" t="s">
        <v>76</v>
      </c>
      <c r="D450" s="25" t="s">
        <v>429</v>
      </c>
      <c r="E450" s="28"/>
    </row>
    <row r="451" spans="1:5" ht="34" x14ac:dyDescent="0.2">
      <c r="A451" s="26" t="s">
        <v>329</v>
      </c>
      <c r="B451" s="22">
        <v>2841396</v>
      </c>
      <c r="C451" s="27" t="s">
        <v>76</v>
      </c>
      <c r="D451" s="25" t="s">
        <v>430</v>
      </c>
      <c r="E451" s="28"/>
    </row>
    <row r="452" spans="1:5" ht="34" x14ac:dyDescent="0.2">
      <c r="A452" s="26" t="s">
        <v>329</v>
      </c>
      <c r="B452" s="22">
        <v>2864007</v>
      </c>
      <c r="C452" s="27" t="s">
        <v>76</v>
      </c>
      <c r="D452" s="25" t="s">
        <v>423</v>
      </c>
      <c r="E452" s="28"/>
    </row>
    <row r="453" spans="1:5" ht="34" x14ac:dyDescent="0.2">
      <c r="A453" s="26" t="s">
        <v>329</v>
      </c>
      <c r="B453" s="22">
        <v>2833073</v>
      </c>
      <c r="C453" s="27" t="s">
        <v>76</v>
      </c>
      <c r="D453" s="25" t="s">
        <v>431</v>
      </c>
      <c r="E453" s="28"/>
    </row>
    <row r="454" spans="1:5" ht="34" x14ac:dyDescent="0.2">
      <c r="A454" s="26" t="s">
        <v>329</v>
      </c>
      <c r="B454" s="22">
        <v>2808551</v>
      </c>
      <c r="C454" s="27" t="s">
        <v>76</v>
      </c>
      <c r="D454" s="25" t="s">
        <v>432</v>
      </c>
      <c r="E454" s="28"/>
    </row>
    <row r="455" spans="1:5" ht="34" x14ac:dyDescent="0.2">
      <c r="A455" s="26" t="s">
        <v>329</v>
      </c>
      <c r="B455" s="22">
        <v>2818029</v>
      </c>
      <c r="C455" s="27" t="s">
        <v>76</v>
      </c>
      <c r="D455" s="25" t="s">
        <v>433</v>
      </c>
      <c r="E455" s="28"/>
    </row>
    <row r="456" spans="1:5" ht="34" x14ac:dyDescent="0.2">
      <c r="A456" s="26" t="s">
        <v>329</v>
      </c>
      <c r="B456" s="22">
        <v>2817189</v>
      </c>
      <c r="C456" s="27" t="s">
        <v>76</v>
      </c>
      <c r="D456" s="25" t="s">
        <v>434</v>
      </c>
      <c r="E456" s="28"/>
    </row>
    <row r="457" spans="1:5" ht="34" x14ac:dyDescent="0.2">
      <c r="A457" s="26" t="s">
        <v>329</v>
      </c>
      <c r="B457" s="22">
        <v>2819186</v>
      </c>
      <c r="C457" s="27" t="s">
        <v>76</v>
      </c>
      <c r="D457" s="25" t="s">
        <v>435</v>
      </c>
      <c r="E457" s="28"/>
    </row>
    <row r="458" spans="1:5" ht="34" x14ac:dyDescent="0.2">
      <c r="A458" s="26" t="s">
        <v>329</v>
      </c>
      <c r="B458" s="22">
        <v>2822059</v>
      </c>
      <c r="C458" s="27" t="s">
        <v>76</v>
      </c>
      <c r="D458" s="25" t="s">
        <v>436</v>
      </c>
      <c r="E458" s="28"/>
    </row>
    <row r="459" spans="1:5" ht="34" x14ac:dyDescent="0.2">
      <c r="A459" s="26" t="s">
        <v>329</v>
      </c>
      <c r="B459" s="22">
        <v>2823073</v>
      </c>
      <c r="C459" s="27" t="s">
        <v>76</v>
      </c>
      <c r="D459" s="25" t="s">
        <v>437</v>
      </c>
      <c r="E459" s="28"/>
    </row>
    <row r="460" spans="1:5" ht="34" x14ac:dyDescent="0.2">
      <c r="A460" s="26" t="s">
        <v>329</v>
      </c>
      <c r="B460" s="22">
        <v>2825165</v>
      </c>
      <c r="C460" s="27" t="s">
        <v>76</v>
      </c>
      <c r="D460" s="25" t="s">
        <v>438</v>
      </c>
      <c r="E460" s="28"/>
    </row>
    <row r="461" spans="1:5" ht="34" x14ac:dyDescent="0.2">
      <c r="A461" s="26" t="s">
        <v>329</v>
      </c>
      <c r="B461" s="22">
        <v>2226728</v>
      </c>
      <c r="C461" s="27" t="s">
        <v>76</v>
      </c>
      <c r="D461" s="25" t="s">
        <v>439</v>
      </c>
      <c r="E461" s="28"/>
    </row>
    <row r="462" spans="1:5" ht="34" x14ac:dyDescent="0.2">
      <c r="A462" s="26" t="s">
        <v>329</v>
      </c>
      <c r="B462" s="22">
        <v>2242052</v>
      </c>
      <c r="C462" s="27" t="s">
        <v>76</v>
      </c>
      <c r="D462" s="25" t="s">
        <v>440</v>
      </c>
      <c r="E462" s="28"/>
    </row>
    <row r="463" spans="1:5" ht="34" x14ac:dyDescent="0.2">
      <c r="A463" s="26" t="s">
        <v>329</v>
      </c>
      <c r="B463" s="22">
        <v>2837202</v>
      </c>
      <c r="C463" s="27" t="s">
        <v>76</v>
      </c>
      <c r="D463" s="25" t="s">
        <v>441</v>
      </c>
      <c r="E463" s="28"/>
    </row>
    <row r="464" spans="1:5" ht="34" x14ac:dyDescent="0.2">
      <c r="A464" s="26" t="s">
        <v>329</v>
      </c>
      <c r="B464" s="22">
        <v>2839084</v>
      </c>
      <c r="C464" s="27" t="s">
        <v>76</v>
      </c>
      <c r="D464" s="25" t="s">
        <v>442</v>
      </c>
      <c r="E464" s="28"/>
    </row>
    <row r="465" spans="1:5" ht="34" x14ac:dyDescent="0.2">
      <c r="A465" s="26" t="s">
        <v>329</v>
      </c>
      <c r="B465" s="22">
        <v>2833046</v>
      </c>
      <c r="C465" s="27" t="s">
        <v>76</v>
      </c>
      <c r="D465" s="25" t="s">
        <v>443</v>
      </c>
      <c r="E465" s="28"/>
    </row>
    <row r="466" spans="1:5" ht="34" x14ac:dyDescent="0.2">
      <c r="A466" s="26" t="s">
        <v>329</v>
      </c>
      <c r="B466" s="22">
        <v>2849045</v>
      </c>
      <c r="C466" s="27" t="s">
        <v>76</v>
      </c>
      <c r="D466" s="25" t="s">
        <v>444</v>
      </c>
      <c r="E466" s="28"/>
    </row>
    <row r="467" spans="1:5" ht="17" x14ac:dyDescent="0.2">
      <c r="A467" s="26" t="s">
        <v>445</v>
      </c>
      <c r="B467" s="19" t="s">
        <v>10</v>
      </c>
      <c r="C467" s="19" t="s">
        <v>11</v>
      </c>
      <c r="D467" s="21" t="s">
        <v>12</v>
      </c>
      <c r="E467" s="21" t="s">
        <v>13</v>
      </c>
    </row>
    <row r="468" spans="1:5" ht="17" x14ac:dyDescent="0.2">
      <c r="A468" s="26" t="s">
        <v>445</v>
      </c>
      <c r="B468" s="22">
        <v>2810399</v>
      </c>
      <c r="C468" s="27" t="s">
        <v>14</v>
      </c>
      <c r="D468" s="25" t="s">
        <v>446</v>
      </c>
      <c r="E468" s="52" t="str">
        <f>HYPERLINK("https://www.linkedin.com/learning/paths/fostering-innovation","Fostering Innovation")</f>
        <v>Fostering Innovation</v>
      </c>
    </row>
    <row r="469" spans="1:5" ht="17" x14ac:dyDescent="0.2">
      <c r="A469" s="26" t="s">
        <v>445</v>
      </c>
      <c r="B469" s="22">
        <v>153123</v>
      </c>
      <c r="C469" s="27" t="s">
        <v>17</v>
      </c>
      <c r="D469" s="25" t="s">
        <v>104</v>
      </c>
      <c r="E469" s="52" t="str">
        <f>HYPERLINK("https://www.linkedin.com/learning/paths/improve-your-creativity-skills?u=104","Improve Your Creativity Skills")</f>
        <v>Improve Your Creativity Skills</v>
      </c>
    </row>
    <row r="470" spans="1:5" ht="17" x14ac:dyDescent="0.2">
      <c r="A470" s="26" t="s">
        <v>445</v>
      </c>
      <c r="B470" s="22">
        <v>548712</v>
      </c>
      <c r="C470" s="23" t="s">
        <v>17</v>
      </c>
      <c r="D470" s="25" t="s">
        <v>447</v>
      </c>
      <c r="E470" s="52" t="str">
        <f>HYPERLINK("https://www.linkedin.com/learning/paths/improve-your-problem-solving-skills","Improve Your Problem Solving Skills")</f>
        <v>Improve Your Problem Solving Skills</v>
      </c>
    </row>
    <row r="471" spans="1:5" ht="17" x14ac:dyDescent="0.2">
      <c r="A471" s="26" t="s">
        <v>445</v>
      </c>
      <c r="B471" s="22">
        <v>197935</v>
      </c>
      <c r="C471" s="27" t="s">
        <v>17</v>
      </c>
      <c r="D471" s="25" t="s">
        <v>448</v>
      </c>
      <c r="E471" s="25" t="str">
        <f>HYPERLINK("https://www.linkedin.com/learning/paths/stay-competitive-using-design-thinking","Stay Competitive Using Design Thinking")</f>
        <v>Stay Competitive Using Design Thinking</v>
      </c>
    </row>
    <row r="472" spans="1:5" ht="17" x14ac:dyDescent="0.2">
      <c r="A472" s="26" t="s">
        <v>445</v>
      </c>
      <c r="B472" s="22">
        <v>774900</v>
      </c>
      <c r="C472" s="27" t="s">
        <v>17</v>
      </c>
      <c r="D472" s="52" t="str">
        <f>HYPERLINK("https://www.linkedin.com/learning/creativity-for-all","Creativity for All Weekly")</f>
        <v>Creativity for All Weekly</v>
      </c>
      <c r="E472" s="52" t="str">
        <f>HYPERLINK("https://www.linkedin.com/learning/paths/working-with-creatives-2","Working with Creatives")</f>
        <v>Working with Creatives</v>
      </c>
    </row>
    <row r="473" spans="1:5" ht="17" x14ac:dyDescent="0.2">
      <c r="A473" s="26" t="s">
        <v>445</v>
      </c>
      <c r="B473" s="22">
        <v>495346</v>
      </c>
      <c r="C473" s="27" t="s">
        <v>17</v>
      </c>
      <c r="D473" s="25" t="s">
        <v>107</v>
      </c>
      <c r="E473" s="52" t="str">
        <f>HYPERLINK("https://www.linkedin.com/learning/paths/stay-competitive-using-design-thinking","Stay Competitive Using Design Thinking")</f>
        <v>Stay Competitive Using Design Thinking</v>
      </c>
    </row>
    <row r="474" spans="1:5" ht="17" x14ac:dyDescent="0.2">
      <c r="A474" s="26" t="s">
        <v>445</v>
      </c>
      <c r="B474" s="22">
        <v>608995</v>
      </c>
      <c r="C474" s="27" t="s">
        <v>17</v>
      </c>
      <c r="D474" s="25" t="s">
        <v>449</v>
      </c>
      <c r="E474" s="52" t="s">
        <v>450</v>
      </c>
    </row>
    <row r="475" spans="1:5" ht="17" x14ac:dyDescent="0.2">
      <c r="A475" s="26" t="s">
        <v>445</v>
      </c>
      <c r="B475" s="22">
        <v>178137</v>
      </c>
      <c r="C475" s="23" t="s">
        <v>17</v>
      </c>
      <c r="D475" s="25" t="s">
        <v>451</v>
      </c>
      <c r="E475" s="52"/>
    </row>
    <row r="476" spans="1:5" ht="17" x14ac:dyDescent="0.2">
      <c r="A476" s="26" t="s">
        <v>445</v>
      </c>
      <c r="B476" s="22">
        <v>2804654</v>
      </c>
      <c r="C476" s="27" t="s">
        <v>17</v>
      </c>
      <c r="D476" s="25" t="s">
        <v>452</v>
      </c>
      <c r="E476" s="28"/>
    </row>
    <row r="477" spans="1:5" ht="17" x14ac:dyDescent="0.2">
      <c r="A477" s="26" t="s">
        <v>445</v>
      </c>
      <c r="B477" s="22">
        <v>178138</v>
      </c>
      <c r="C477" s="23" t="s">
        <v>17</v>
      </c>
      <c r="D477" s="25" t="s">
        <v>453</v>
      </c>
      <c r="E477" s="52"/>
    </row>
    <row r="478" spans="1:5" ht="17" x14ac:dyDescent="0.2">
      <c r="A478" s="26" t="s">
        <v>445</v>
      </c>
      <c r="B478" s="22">
        <v>2807856</v>
      </c>
      <c r="C478" s="27" t="s">
        <v>17</v>
      </c>
      <c r="D478" s="25" t="s">
        <v>109</v>
      </c>
      <c r="E478" s="52"/>
    </row>
    <row r="479" spans="1:5" ht="17" x14ac:dyDescent="0.2">
      <c r="A479" s="26" t="s">
        <v>445</v>
      </c>
      <c r="B479" s="22">
        <v>706920</v>
      </c>
      <c r="C479" s="27" t="s">
        <v>17</v>
      </c>
      <c r="D479" s="25" t="s">
        <v>454</v>
      </c>
      <c r="E479" s="28"/>
    </row>
    <row r="480" spans="1:5" ht="17" x14ac:dyDescent="0.2">
      <c r="A480" s="26" t="s">
        <v>445</v>
      </c>
      <c r="B480" s="22">
        <v>2213242</v>
      </c>
      <c r="C480" s="27" t="s">
        <v>17</v>
      </c>
      <c r="D480" s="25" t="s">
        <v>357</v>
      </c>
      <c r="E480" s="28"/>
    </row>
    <row r="481" spans="1:5" ht="17" x14ac:dyDescent="0.2">
      <c r="A481" s="26" t="s">
        <v>445</v>
      </c>
      <c r="B481" s="22">
        <v>2814148</v>
      </c>
      <c r="C481" s="27" t="s">
        <v>17</v>
      </c>
      <c r="D481" s="25" t="s">
        <v>455</v>
      </c>
      <c r="E481" s="28"/>
    </row>
    <row r="482" spans="1:5" ht="17" x14ac:dyDescent="0.2">
      <c r="A482" s="26" t="s">
        <v>445</v>
      </c>
      <c r="B482" s="22">
        <v>2822032</v>
      </c>
      <c r="C482" s="27" t="s">
        <v>17</v>
      </c>
      <c r="D482" s="25" t="s">
        <v>456</v>
      </c>
      <c r="E482" s="28"/>
    </row>
    <row r="483" spans="1:5" ht="17" x14ac:dyDescent="0.2">
      <c r="A483" s="26" t="s">
        <v>445</v>
      </c>
      <c r="B483" s="22">
        <v>2823256</v>
      </c>
      <c r="C483" s="27" t="s">
        <v>17</v>
      </c>
      <c r="D483" s="25" t="s">
        <v>457</v>
      </c>
      <c r="E483" s="28"/>
    </row>
    <row r="484" spans="1:5" ht="17" x14ac:dyDescent="0.2">
      <c r="A484" s="26" t="s">
        <v>445</v>
      </c>
      <c r="B484" s="22">
        <v>2815157</v>
      </c>
      <c r="C484" s="27" t="s">
        <v>17</v>
      </c>
      <c r="D484" s="25" t="s">
        <v>114</v>
      </c>
      <c r="E484" s="28"/>
    </row>
    <row r="485" spans="1:5" ht="17" x14ac:dyDescent="0.2">
      <c r="A485" s="26" t="s">
        <v>445</v>
      </c>
      <c r="B485" s="22">
        <v>2833044</v>
      </c>
      <c r="C485" s="27" t="s">
        <v>70</v>
      </c>
      <c r="D485" s="25" t="s">
        <v>458</v>
      </c>
      <c r="E485" s="28"/>
    </row>
    <row r="486" spans="1:5" ht="17" x14ac:dyDescent="0.2">
      <c r="A486" s="26" t="s">
        <v>445</v>
      </c>
      <c r="B486" s="22">
        <v>2833091</v>
      </c>
      <c r="C486" s="27" t="s">
        <v>70</v>
      </c>
      <c r="D486" s="25" t="s">
        <v>459</v>
      </c>
      <c r="E486" s="28"/>
    </row>
    <row r="487" spans="1:5" ht="17" x14ac:dyDescent="0.2">
      <c r="A487" s="26" t="s">
        <v>445</v>
      </c>
      <c r="B487" s="22">
        <v>2840016</v>
      </c>
      <c r="C487" s="27" t="s">
        <v>70</v>
      </c>
      <c r="D487" s="25" t="s">
        <v>460</v>
      </c>
      <c r="E487" s="28"/>
    </row>
    <row r="488" spans="1:5" ht="17" x14ac:dyDescent="0.2">
      <c r="A488" s="26" t="s">
        <v>445</v>
      </c>
      <c r="B488" s="22">
        <v>2824376</v>
      </c>
      <c r="C488" s="27" t="s">
        <v>70</v>
      </c>
      <c r="D488" s="25" t="s">
        <v>461</v>
      </c>
      <c r="E488" s="28"/>
    </row>
    <row r="489" spans="1:5" ht="17" x14ac:dyDescent="0.2">
      <c r="A489" s="26" t="s">
        <v>445</v>
      </c>
      <c r="B489" s="22">
        <v>2824108</v>
      </c>
      <c r="C489" s="27" t="s">
        <v>70</v>
      </c>
      <c r="D489" s="48" t="s">
        <v>462</v>
      </c>
      <c r="E489" s="28"/>
    </row>
    <row r="490" spans="1:5" ht="17" x14ac:dyDescent="0.2">
      <c r="A490" s="26" t="s">
        <v>445</v>
      </c>
      <c r="B490" s="22">
        <v>5030976</v>
      </c>
      <c r="C490" s="27" t="s">
        <v>70</v>
      </c>
      <c r="D490" s="25" t="s">
        <v>463</v>
      </c>
      <c r="E490" s="28"/>
    </row>
    <row r="491" spans="1:5" ht="17" x14ac:dyDescent="0.2">
      <c r="A491" s="26" t="s">
        <v>445</v>
      </c>
      <c r="B491" s="22">
        <v>782124</v>
      </c>
      <c r="C491" s="30" t="s">
        <v>70</v>
      </c>
      <c r="D491" s="25" t="s">
        <v>464</v>
      </c>
      <c r="E491" s="28"/>
    </row>
    <row r="492" spans="1:5" ht="17" x14ac:dyDescent="0.2">
      <c r="A492" s="26" t="s">
        <v>445</v>
      </c>
      <c r="B492" s="22">
        <v>138322</v>
      </c>
      <c r="C492" s="30" t="s">
        <v>70</v>
      </c>
      <c r="D492" s="34" t="s">
        <v>465</v>
      </c>
      <c r="E492" s="28"/>
    </row>
    <row r="493" spans="1:5" ht="17" x14ac:dyDescent="0.2">
      <c r="A493" s="26" t="s">
        <v>445</v>
      </c>
      <c r="B493" s="22">
        <v>161053</v>
      </c>
      <c r="C493" s="30" t="s">
        <v>70</v>
      </c>
      <c r="D493" s="25" t="s">
        <v>466</v>
      </c>
      <c r="E493" s="28"/>
    </row>
    <row r="494" spans="1:5" ht="17" x14ac:dyDescent="0.2">
      <c r="A494" s="26" t="s">
        <v>445</v>
      </c>
      <c r="B494" s="22">
        <v>585010</v>
      </c>
      <c r="C494" s="30" t="s">
        <v>70</v>
      </c>
      <c r="D494" s="25" t="s">
        <v>467</v>
      </c>
      <c r="E494" s="28"/>
    </row>
    <row r="495" spans="1:5" ht="17" x14ac:dyDescent="0.2">
      <c r="A495" s="26" t="s">
        <v>445</v>
      </c>
      <c r="B495" s="22">
        <v>2839072</v>
      </c>
      <c r="C495" s="30" t="s">
        <v>84</v>
      </c>
      <c r="D495" s="25" t="s">
        <v>468</v>
      </c>
      <c r="E495" s="28"/>
    </row>
    <row r="496" spans="1:5" ht="17" x14ac:dyDescent="0.2">
      <c r="A496" s="26" t="s">
        <v>445</v>
      </c>
      <c r="B496" s="22">
        <v>2831007</v>
      </c>
      <c r="C496" s="30" t="s">
        <v>84</v>
      </c>
      <c r="D496" s="25" t="s">
        <v>469</v>
      </c>
      <c r="E496" s="28"/>
    </row>
    <row r="497" spans="1:5" ht="17" x14ac:dyDescent="0.2">
      <c r="A497" s="26" t="s">
        <v>445</v>
      </c>
      <c r="B497" s="22">
        <v>2244040</v>
      </c>
      <c r="C497" s="30" t="s">
        <v>84</v>
      </c>
      <c r="D497" s="25" t="s">
        <v>470</v>
      </c>
      <c r="E497" s="28"/>
    </row>
    <row r="498" spans="1:5" ht="17" x14ac:dyDescent="0.2">
      <c r="A498" s="26" t="s">
        <v>445</v>
      </c>
      <c r="B498" s="22">
        <v>2813223</v>
      </c>
      <c r="C498" s="30" t="s">
        <v>84</v>
      </c>
      <c r="D498" s="25" t="s">
        <v>471</v>
      </c>
      <c r="E498" s="28"/>
    </row>
    <row r="499" spans="1:5" ht="17" x14ac:dyDescent="0.2">
      <c r="A499" s="26" t="s">
        <v>445</v>
      </c>
      <c r="B499" s="22">
        <v>2823037</v>
      </c>
      <c r="C499" s="30" t="s">
        <v>84</v>
      </c>
      <c r="D499" s="25" t="s">
        <v>472</v>
      </c>
      <c r="E499" s="28"/>
    </row>
    <row r="500" spans="1:5" ht="17" x14ac:dyDescent="0.2">
      <c r="A500" s="26" t="s">
        <v>445</v>
      </c>
      <c r="B500" s="22">
        <v>2825163</v>
      </c>
      <c r="C500" s="30" t="s">
        <v>84</v>
      </c>
      <c r="D500" s="25" t="s">
        <v>473</v>
      </c>
      <c r="E500" s="28"/>
    </row>
    <row r="501" spans="1:5" ht="17" x14ac:dyDescent="0.2">
      <c r="A501" s="26" t="s">
        <v>445</v>
      </c>
      <c r="B501" s="22">
        <v>2804662</v>
      </c>
      <c r="C501" s="30" t="s">
        <v>84</v>
      </c>
      <c r="D501" s="25" t="s">
        <v>474</v>
      </c>
      <c r="E501" s="28"/>
    </row>
    <row r="502" spans="1:5" ht="17" x14ac:dyDescent="0.2">
      <c r="A502" s="26" t="s">
        <v>445</v>
      </c>
      <c r="B502" s="22">
        <v>2836030</v>
      </c>
      <c r="C502" s="30" t="s">
        <v>84</v>
      </c>
      <c r="D502" s="25" t="s">
        <v>475</v>
      </c>
      <c r="E502" s="28"/>
    </row>
    <row r="503" spans="1:5" ht="17" x14ac:dyDescent="0.2">
      <c r="A503" s="26" t="s">
        <v>445</v>
      </c>
      <c r="B503" s="22">
        <v>2841399</v>
      </c>
      <c r="C503" s="27" t="s">
        <v>84</v>
      </c>
      <c r="D503" s="25" t="s">
        <v>476</v>
      </c>
      <c r="E503" s="28"/>
    </row>
    <row r="504" spans="1:5" ht="17" x14ac:dyDescent="0.2">
      <c r="A504" s="26" t="s">
        <v>445</v>
      </c>
      <c r="B504" s="22">
        <v>2841547</v>
      </c>
      <c r="C504" s="27" t="s">
        <v>76</v>
      </c>
      <c r="D504" s="25" t="s">
        <v>477</v>
      </c>
      <c r="E504" s="28"/>
    </row>
    <row r="505" spans="1:5" ht="17" x14ac:dyDescent="0.2">
      <c r="A505" s="26" t="s">
        <v>445</v>
      </c>
      <c r="B505" s="22">
        <v>2848248</v>
      </c>
      <c r="C505" s="27" t="s">
        <v>76</v>
      </c>
      <c r="D505" s="25" t="s">
        <v>425</v>
      </c>
      <c r="E505" s="28"/>
    </row>
    <row r="506" spans="1:5" ht="17" x14ac:dyDescent="0.2">
      <c r="A506" s="26" t="s">
        <v>445</v>
      </c>
      <c r="B506" s="22">
        <v>2848237</v>
      </c>
      <c r="C506" s="27" t="s">
        <v>76</v>
      </c>
      <c r="D506" s="25" t="s">
        <v>478</v>
      </c>
      <c r="E506" s="28"/>
    </row>
    <row r="507" spans="1:5" ht="17" x14ac:dyDescent="0.2">
      <c r="A507" s="26" t="s">
        <v>445</v>
      </c>
      <c r="B507" s="22">
        <v>136654</v>
      </c>
      <c r="C507" s="27" t="s">
        <v>76</v>
      </c>
      <c r="D507" s="34" t="s">
        <v>479</v>
      </c>
      <c r="E507" s="28"/>
    </row>
    <row r="508" spans="1:5" ht="17" x14ac:dyDescent="0.2">
      <c r="A508" s="26" t="s">
        <v>445</v>
      </c>
      <c r="B508" s="22">
        <v>718627</v>
      </c>
      <c r="C508" s="27" t="s">
        <v>76</v>
      </c>
      <c r="D508" s="25" t="s">
        <v>181</v>
      </c>
      <c r="E508" s="28"/>
    </row>
    <row r="509" spans="1:5" ht="17" x14ac:dyDescent="0.2">
      <c r="A509" s="26" t="s">
        <v>445</v>
      </c>
      <c r="B509" s="22">
        <v>2802464</v>
      </c>
      <c r="C509" s="27" t="s">
        <v>76</v>
      </c>
      <c r="D509" s="34" t="s">
        <v>138</v>
      </c>
      <c r="E509" s="28"/>
    </row>
    <row r="510" spans="1:5" ht="17" x14ac:dyDescent="0.2">
      <c r="A510" s="26" t="s">
        <v>445</v>
      </c>
      <c r="B510" s="22">
        <v>492724</v>
      </c>
      <c r="C510" s="27" t="s">
        <v>76</v>
      </c>
      <c r="D510" s="25" t="s">
        <v>480</v>
      </c>
      <c r="E510" s="28"/>
    </row>
    <row r="511" spans="1:5" ht="17" x14ac:dyDescent="0.2">
      <c r="A511" s="26" t="s">
        <v>445</v>
      </c>
      <c r="B511" s="22">
        <v>685022</v>
      </c>
      <c r="C511" s="27" t="s">
        <v>76</v>
      </c>
      <c r="D511" s="34" t="s">
        <v>481</v>
      </c>
      <c r="E511" s="28"/>
    </row>
    <row r="512" spans="1:5" ht="17" x14ac:dyDescent="0.2">
      <c r="A512" s="26" t="s">
        <v>445</v>
      </c>
      <c r="B512" s="22">
        <v>2824253</v>
      </c>
      <c r="C512" s="27" t="s">
        <v>76</v>
      </c>
      <c r="D512" s="25" t="s">
        <v>482</v>
      </c>
      <c r="E512" s="28"/>
    </row>
    <row r="513" spans="1:5" ht="17" x14ac:dyDescent="0.2">
      <c r="A513" s="26" t="s">
        <v>445</v>
      </c>
      <c r="B513" s="22">
        <v>2825455</v>
      </c>
      <c r="C513" s="27" t="s">
        <v>76</v>
      </c>
      <c r="D513" s="25" t="s">
        <v>483</v>
      </c>
      <c r="E513" s="28"/>
    </row>
    <row r="514" spans="1:5" ht="17" x14ac:dyDescent="0.2">
      <c r="A514" s="26" t="s">
        <v>445</v>
      </c>
      <c r="B514" s="22">
        <v>2836022</v>
      </c>
      <c r="C514" s="27" t="s">
        <v>76</v>
      </c>
      <c r="D514" s="25" t="s">
        <v>484</v>
      </c>
      <c r="E514" s="28"/>
    </row>
    <row r="515" spans="1:5" ht="17" x14ac:dyDescent="0.2">
      <c r="A515" s="26" t="s">
        <v>445</v>
      </c>
      <c r="B515" s="22">
        <v>2837260</v>
      </c>
      <c r="C515" s="27" t="s">
        <v>76</v>
      </c>
      <c r="D515" s="25" t="s">
        <v>485</v>
      </c>
      <c r="E515" s="28"/>
    </row>
    <row r="516" spans="1:5" ht="34" x14ac:dyDescent="0.2">
      <c r="A516" s="53" t="s">
        <v>486</v>
      </c>
      <c r="B516" s="19" t="s">
        <v>10</v>
      </c>
      <c r="C516" s="19" t="s">
        <v>11</v>
      </c>
      <c r="D516" s="21" t="s">
        <v>12</v>
      </c>
      <c r="E516" s="21" t="s">
        <v>13</v>
      </c>
    </row>
    <row r="517" spans="1:5" ht="34" x14ac:dyDescent="0.2">
      <c r="A517" s="53" t="s">
        <v>486</v>
      </c>
      <c r="B517" s="22">
        <v>2813143</v>
      </c>
      <c r="C517" s="27" t="s">
        <v>14</v>
      </c>
      <c r="D517" s="34" t="s">
        <v>487</v>
      </c>
      <c r="E517" s="25" t="s">
        <v>488</v>
      </c>
    </row>
    <row r="518" spans="1:5" ht="34" x14ac:dyDescent="0.2">
      <c r="A518" s="53" t="s">
        <v>486</v>
      </c>
      <c r="B518" s="22">
        <v>2851002</v>
      </c>
      <c r="C518" s="27" t="s">
        <v>14</v>
      </c>
      <c r="D518" s="34" t="s">
        <v>489</v>
      </c>
      <c r="E518" s="25" t="str">
        <f>HYPERLINK("https://www.linkedin.com/learning/paths/master-in-demand-professional-soft-skills?u=104","Master In-Demand Professional Soft Skills")</f>
        <v>Master In-Demand Professional Soft Skills</v>
      </c>
    </row>
    <row r="519" spans="1:5" ht="34" x14ac:dyDescent="0.2">
      <c r="A519" s="53" t="s">
        <v>486</v>
      </c>
      <c r="B519" s="22">
        <v>2837270</v>
      </c>
      <c r="C519" s="30" t="s">
        <v>84</v>
      </c>
      <c r="D519" s="34" t="s">
        <v>490</v>
      </c>
      <c r="E519" s="25" t="s">
        <v>16</v>
      </c>
    </row>
    <row r="520" spans="1:5" ht="34" x14ac:dyDescent="0.2">
      <c r="A520" s="53" t="s">
        <v>486</v>
      </c>
      <c r="B520" s="22">
        <v>170777</v>
      </c>
      <c r="C520" s="27" t="s">
        <v>17</v>
      </c>
      <c r="D520" s="25" t="s">
        <v>19</v>
      </c>
      <c r="E520" s="25" t="s">
        <v>491</v>
      </c>
    </row>
    <row r="521" spans="1:5" ht="34" x14ac:dyDescent="0.2">
      <c r="A521" s="53" t="s">
        <v>486</v>
      </c>
      <c r="B521" s="22">
        <v>424116</v>
      </c>
      <c r="C521" s="27" t="s">
        <v>17</v>
      </c>
      <c r="D521" s="25" t="s">
        <v>106</v>
      </c>
    </row>
    <row r="522" spans="1:5" ht="34" x14ac:dyDescent="0.2">
      <c r="A522" s="53" t="s">
        <v>486</v>
      </c>
      <c r="B522" s="22">
        <v>718628</v>
      </c>
      <c r="C522" s="23" t="s">
        <v>17</v>
      </c>
      <c r="D522" s="25" t="s">
        <v>108</v>
      </c>
    </row>
    <row r="523" spans="1:5" ht="34" x14ac:dyDescent="0.2">
      <c r="A523" s="53" t="s">
        <v>486</v>
      </c>
      <c r="B523" s="22">
        <v>186697</v>
      </c>
      <c r="C523" s="27" t="s">
        <v>17</v>
      </c>
      <c r="D523" s="25" t="s">
        <v>492</v>
      </c>
      <c r="E523" s="28"/>
    </row>
    <row r="524" spans="1:5" ht="34" x14ac:dyDescent="0.2">
      <c r="A524" s="53" t="s">
        <v>486</v>
      </c>
      <c r="B524" s="22">
        <v>777381</v>
      </c>
      <c r="C524" s="27" t="s">
        <v>17</v>
      </c>
      <c r="D524" s="25" t="s">
        <v>20</v>
      </c>
      <c r="E524" s="28"/>
    </row>
    <row r="525" spans="1:5" ht="34" x14ac:dyDescent="0.2">
      <c r="A525" s="53" t="s">
        <v>486</v>
      </c>
      <c r="B525" s="22">
        <v>661751</v>
      </c>
      <c r="C525" s="23" t="s">
        <v>17</v>
      </c>
      <c r="D525" s="25" t="s">
        <v>22</v>
      </c>
      <c r="E525" s="54"/>
    </row>
    <row r="526" spans="1:5" ht="34" x14ac:dyDescent="0.2">
      <c r="A526" s="53" t="s">
        <v>486</v>
      </c>
      <c r="B526" s="22">
        <v>718618</v>
      </c>
      <c r="C526" s="27" t="s">
        <v>17</v>
      </c>
      <c r="D526" s="25" t="s">
        <v>25</v>
      </c>
      <c r="E526" s="54"/>
    </row>
    <row r="527" spans="1:5" ht="34" x14ac:dyDescent="0.2">
      <c r="A527" s="53" t="s">
        <v>486</v>
      </c>
      <c r="B527" s="22">
        <v>88536</v>
      </c>
      <c r="C527" s="27" t="s">
        <v>17</v>
      </c>
      <c r="D527" s="25" t="s">
        <v>26</v>
      </c>
      <c r="E527" s="54"/>
    </row>
    <row r="528" spans="1:5" ht="34" x14ac:dyDescent="0.2">
      <c r="A528" s="53" t="s">
        <v>486</v>
      </c>
      <c r="B528" s="22">
        <v>458641</v>
      </c>
      <c r="C528" s="27" t="s">
        <v>17</v>
      </c>
      <c r="D528" s="25" t="s">
        <v>28</v>
      </c>
      <c r="E528" s="54"/>
    </row>
    <row r="529" spans="1:5" ht="34" x14ac:dyDescent="0.2">
      <c r="A529" s="53" t="s">
        <v>486</v>
      </c>
      <c r="B529" s="22">
        <v>161053</v>
      </c>
      <c r="C529" s="27" t="s">
        <v>17</v>
      </c>
      <c r="D529" s="25" t="s">
        <v>466</v>
      </c>
      <c r="E529" s="54"/>
    </row>
    <row r="530" spans="1:5" ht="34" x14ac:dyDescent="0.2">
      <c r="A530" s="53" t="s">
        <v>486</v>
      </c>
      <c r="B530" s="22">
        <v>162446</v>
      </c>
      <c r="C530" s="27" t="s">
        <v>17</v>
      </c>
      <c r="D530" s="52" t="str">
        <f>HYPERLINK("https://www.linkedin.com/learning/improving-your-judgment","The Six Biases of Decision-Making")</f>
        <v>The Six Biases of Decision-Making</v>
      </c>
      <c r="E530" s="54"/>
    </row>
    <row r="531" spans="1:5" ht="34" x14ac:dyDescent="0.2">
      <c r="A531" s="53" t="s">
        <v>486</v>
      </c>
      <c r="B531" s="22">
        <v>661749</v>
      </c>
      <c r="C531" s="23" t="s">
        <v>17</v>
      </c>
      <c r="D531" s="25" t="s">
        <v>33</v>
      </c>
      <c r="E531" s="54"/>
    </row>
    <row r="532" spans="1:5" ht="34" x14ac:dyDescent="0.2">
      <c r="A532" s="53" t="s">
        <v>486</v>
      </c>
      <c r="B532" s="22">
        <v>363225</v>
      </c>
      <c r="C532" s="27" t="s">
        <v>17</v>
      </c>
      <c r="D532" s="25" t="s">
        <v>105</v>
      </c>
      <c r="E532" s="54"/>
    </row>
    <row r="533" spans="1:5" ht="34" x14ac:dyDescent="0.2">
      <c r="A533" s="53" t="s">
        <v>486</v>
      </c>
      <c r="B533" s="22">
        <v>114903</v>
      </c>
      <c r="C533" s="27" t="s">
        <v>17</v>
      </c>
      <c r="D533" s="25" t="s">
        <v>34</v>
      </c>
      <c r="E533" s="54"/>
    </row>
    <row r="534" spans="1:5" ht="34" x14ac:dyDescent="0.2">
      <c r="A534" s="53" t="s">
        <v>486</v>
      </c>
      <c r="B534" s="22">
        <v>737763</v>
      </c>
      <c r="C534" s="27" t="s">
        <v>17</v>
      </c>
      <c r="D534" s="25" t="s">
        <v>75</v>
      </c>
      <c r="E534" s="54"/>
    </row>
    <row r="535" spans="1:5" ht="34" x14ac:dyDescent="0.2">
      <c r="A535" s="53" t="s">
        <v>486</v>
      </c>
      <c r="B535" s="22">
        <v>553700</v>
      </c>
      <c r="C535" s="27" t="s">
        <v>17</v>
      </c>
      <c r="D535" s="25" t="s">
        <v>493</v>
      </c>
      <c r="E535" s="54"/>
    </row>
    <row r="536" spans="1:5" ht="34" x14ac:dyDescent="0.2">
      <c r="A536" s="53" t="s">
        <v>486</v>
      </c>
      <c r="B536" s="22">
        <v>365729</v>
      </c>
      <c r="C536" s="27" t="s">
        <v>17</v>
      </c>
      <c r="D536" s="25" t="s">
        <v>494</v>
      </c>
      <c r="E536" s="55"/>
    </row>
    <row r="537" spans="1:5" ht="34" x14ac:dyDescent="0.2">
      <c r="A537" s="53" t="s">
        <v>486</v>
      </c>
      <c r="B537" s="22">
        <v>669533</v>
      </c>
      <c r="C537" s="27" t="s">
        <v>17</v>
      </c>
      <c r="D537" s="34" t="s">
        <v>38</v>
      </c>
      <c r="E537" s="54"/>
    </row>
    <row r="538" spans="1:5" ht="34" x14ac:dyDescent="0.2">
      <c r="A538" s="53" t="s">
        <v>486</v>
      </c>
      <c r="B538" s="22">
        <v>385661</v>
      </c>
      <c r="C538" s="27" t="s">
        <v>17</v>
      </c>
      <c r="D538" s="25" t="s">
        <v>495</v>
      </c>
      <c r="E538" s="54"/>
    </row>
    <row r="539" spans="1:5" ht="34" x14ac:dyDescent="0.2">
      <c r="A539" s="26" t="s">
        <v>486</v>
      </c>
      <c r="B539" s="22">
        <v>155342</v>
      </c>
      <c r="C539" s="27" t="s">
        <v>17</v>
      </c>
      <c r="D539" s="25" t="s">
        <v>39</v>
      </c>
      <c r="E539" s="54"/>
    </row>
    <row r="540" spans="1:5" ht="34" x14ac:dyDescent="0.2">
      <c r="A540" s="53" t="s">
        <v>486</v>
      </c>
      <c r="B540" s="22">
        <v>728377</v>
      </c>
      <c r="C540" s="27" t="s">
        <v>17</v>
      </c>
      <c r="D540" s="25" t="s">
        <v>496</v>
      </c>
      <c r="E540" s="54"/>
    </row>
    <row r="541" spans="1:5" ht="34" x14ac:dyDescent="0.2">
      <c r="A541" s="53" t="s">
        <v>486</v>
      </c>
      <c r="B541" s="22">
        <v>2802468</v>
      </c>
      <c r="C541" s="23" t="s">
        <v>17</v>
      </c>
      <c r="D541" s="25" t="s">
        <v>78</v>
      </c>
      <c r="E541" s="28"/>
    </row>
    <row r="542" spans="1:5" ht="34" x14ac:dyDescent="0.2">
      <c r="A542" s="53" t="s">
        <v>486</v>
      </c>
      <c r="B542" s="22">
        <v>2816034</v>
      </c>
      <c r="C542" s="27" t="s">
        <v>17</v>
      </c>
      <c r="D542" s="25" t="s">
        <v>497</v>
      </c>
      <c r="E542" s="54"/>
    </row>
    <row r="543" spans="1:5" ht="34" x14ac:dyDescent="0.2">
      <c r="A543" s="53" t="s">
        <v>486</v>
      </c>
      <c r="B543" s="22">
        <v>2823137</v>
      </c>
      <c r="C543" s="27" t="s">
        <v>17</v>
      </c>
      <c r="D543" s="34" t="s">
        <v>498</v>
      </c>
      <c r="E543" s="54"/>
    </row>
    <row r="544" spans="1:5" ht="34" x14ac:dyDescent="0.2">
      <c r="A544" s="53" t="s">
        <v>486</v>
      </c>
      <c r="B544" s="22">
        <v>2825339</v>
      </c>
      <c r="C544" s="27" t="s">
        <v>17</v>
      </c>
      <c r="D544" s="34" t="s">
        <v>499</v>
      </c>
      <c r="E544" s="54"/>
    </row>
    <row r="545" spans="1:5" ht="34" x14ac:dyDescent="0.2">
      <c r="A545" s="53" t="s">
        <v>486</v>
      </c>
      <c r="B545" s="22">
        <v>2822455</v>
      </c>
      <c r="C545" s="27" t="s">
        <v>17</v>
      </c>
      <c r="D545" s="34" t="s">
        <v>500</v>
      </c>
      <c r="E545" s="54"/>
    </row>
    <row r="546" spans="1:5" ht="34" x14ac:dyDescent="0.2">
      <c r="A546" s="53" t="s">
        <v>486</v>
      </c>
      <c r="B546" s="22">
        <v>2825480</v>
      </c>
      <c r="C546" s="27" t="s">
        <v>17</v>
      </c>
      <c r="D546" s="34" t="s">
        <v>501</v>
      </c>
      <c r="E546" s="28"/>
    </row>
    <row r="547" spans="1:5" ht="34" x14ac:dyDescent="0.2">
      <c r="A547" s="53" t="s">
        <v>486</v>
      </c>
      <c r="B547" s="22">
        <v>2824108</v>
      </c>
      <c r="C547" s="27" t="s">
        <v>70</v>
      </c>
      <c r="D547" s="56" t="s">
        <v>462</v>
      </c>
      <c r="E547" s="28"/>
    </row>
    <row r="548" spans="1:5" ht="34" x14ac:dyDescent="0.2">
      <c r="A548" s="53" t="s">
        <v>486</v>
      </c>
      <c r="B548" s="22">
        <v>387349</v>
      </c>
      <c r="C548" s="30" t="s">
        <v>70</v>
      </c>
      <c r="D548" s="25" t="s">
        <v>74</v>
      </c>
      <c r="E548" s="28"/>
    </row>
    <row r="549" spans="1:5" ht="34" x14ac:dyDescent="0.2">
      <c r="A549" s="53" t="s">
        <v>486</v>
      </c>
      <c r="B549" s="22">
        <v>753898</v>
      </c>
      <c r="C549" s="27" t="s">
        <v>76</v>
      </c>
      <c r="D549" s="25" t="s">
        <v>135</v>
      </c>
      <c r="E549" s="28"/>
    </row>
    <row r="550" spans="1:5" ht="34" x14ac:dyDescent="0.2">
      <c r="A550" s="53" t="s">
        <v>486</v>
      </c>
      <c r="B550" s="22">
        <v>373992</v>
      </c>
      <c r="C550" s="27" t="s">
        <v>76</v>
      </c>
      <c r="D550" s="52" t="str">
        <f>HYPERLINK("https://www.linkedin.com/learning/executive-decision-making","Executive Decision-Making")</f>
        <v>Executive Decision-Making</v>
      </c>
      <c r="E550" s="28"/>
    </row>
    <row r="551" spans="1:5" ht="34" x14ac:dyDescent="0.2">
      <c r="A551" s="53" t="s">
        <v>486</v>
      </c>
      <c r="B551" s="22">
        <v>5015863</v>
      </c>
      <c r="C551" s="27" t="s">
        <v>76</v>
      </c>
      <c r="D551" s="25" t="s">
        <v>502</v>
      </c>
      <c r="E551" s="28"/>
    </row>
    <row r="552" spans="1:5" ht="34" x14ac:dyDescent="0.2">
      <c r="A552" s="53" t="s">
        <v>486</v>
      </c>
      <c r="B552" s="22">
        <v>175639</v>
      </c>
      <c r="C552" s="27" t="s">
        <v>76</v>
      </c>
      <c r="D552" s="34" t="s">
        <v>503</v>
      </c>
      <c r="E552" s="28"/>
    </row>
    <row r="553" spans="1:5" ht="34" x14ac:dyDescent="0.2">
      <c r="A553" s="53" t="s">
        <v>486</v>
      </c>
      <c r="B553" s="22">
        <v>685022</v>
      </c>
      <c r="C553" s="27" t="s">
        <v>76</v>
      </c>
      <c r="D553" s="34" t="s">
        <v>481</v>
      </c>
      <c r="E553" s="28"/>
    </row>
    <row r="554" spans="1:5" ht="34" x14ac:dyDescent="0.2">
      <c r="A554" s="53" t="s">
        <v>486</v>
      </c>
      <c r="B554" s="22">
        <v>2972405</v>
      </c>
      <c r="C554" s="27" t="s">
        <v>76</v>
      </c>
      <c r="D554" s="34" t="s">
        <v>504</v>
      </c>
      <c r="E554" s="28"/>
    </row>
    <row r="555" spans="1:5" ht="17" x14ac:dyDescent="0.2">
      <c r="A555" s="50" t="s">
        <v>505</v>
      </c>
      <c r="B555" s="19" t="s">
        <v>10</v>
      </c>
      <c r="C555" s="19" t="s">
        <v>11</v>
      </c>
      <c r="D555" s="21" t="s">
        <v>12</v>
      </c>
      <c r="E555" s="21" t="s">
        <v>13</v>
      </c>
    </row>
    <row r="556" spans="1:5" ht="17" x14ac:dyDescent="0.2">
      <c r="A556" s="50" t="s">
        <v>505</v>
      </c>
      <c r="B556" s="22">
        <v>601771</v>
      </c>
      <c r="C556" s="27" t="s">
        <v>14</v>
      </c>
      <c r="D556" s="25" t="s">
        <v>506</v>
      </c>
      <c r="E556" s="25" t="s">
        <v>507</v>
      </c>
    </row>
    <row r="557" spans="1:5" ht="17" x14ac:dyDescent="0.2">
      <c r="A557" s="26" t="s">
        <v>505</v>
      </c>
      <c r="B557" s="22">
        <v>2802030</v>
      </c>
      <c r="C557" s="27" t="s">
        <v>14</v>
      </c>
      <c r="D557" s="25" t="s">
        <v>508</v>
      </c>
      <c r="E557" s="25" t="s">
        <v>509</v>
      </c>
    </row>
    <row r="558" spans="1:5" ht="17" x14ac:dyDescent="0.2">
      <c r="A558" s="26" t="s">
        <v>505</v>
      </c>
      <c r="B558" s="22">
        <v>2804059</v>
      </c>
      <c r="C558" s="27" t="s">
        <v>14</v>
      </c>
      <c r="D558" s="25" t="s">
        <v>510</v>
      </c>
      <c r="E558" s="25" t="str">
        <f>HYPERLINK("https://www.linkedin.com/learning/paths/become-a-customer-support-specialist","Become a Customer Support Specialist")</f>
        <v>Become a Customer Support Specialist</v>
      </c>
    </row>
    <row r="559" spans="1:5" ht="17" x14ac:dyDescent="0.2">
      <c r="A559" s="50" t="s">
        <v>505</v>
      </c>
      <c r="B559" s="22">
        <v>2819182</v>
      </c>
      <c r="C559" s="27" t="s">
        <v>14</v>
      </c>
      <c r="D559" s="25" t="s">
        <v>511</v>
      </c>
      <c r="E559" s="25" t="s">
        <v>512</v>
      </c>
    </row>
    <row r="560" spans="1:5" ht="17" x14ac:dyDescent="0.2">
      <c r="A560" s="50" t="s">
        <v>505</v>
      </c>
      <c r="B560" s="22">
        <v>746263</v>
      </c>
      <c r="C560" s="23" t="s">
        <v>17</v>
      </c>
      <c r="D560" s="25" t="s">
        <v>513</v>
      </c>
    </row>
    <row r="561" spans="1:5" ht="17" x14ac:dyDescent="0.2">
      <c r="A561" s="50" t="s">
        <v>505</v>
      </c>
      <c r="B561" s="22">
        <v>693076</v>
      </c>
      <c r="C561" s="23" t="s">
        <v>17</v>
      </c>
      <c r="D561" s="25" t="s">
        <v>514</v>
      </c>
      <c r="E561" s="28"/>
    </row>
    <row r="562" spans="1:5" ht="17" x14ac:dyDescent="0.2">
      <c r="A562" s="50" t="s">
        <v>505</v>
      </c>
      <c r="B562" s="22">
        <v>598482</v>
      </c>
      <c r="C562" s="27" t="s">
        <v>17</v>
      </c>
      <c r="D562" s="25" t="s">
        <v>515</v>
      </c>
      <c r="E562" s="28"/>
    </row>
    <row r="563" spans="1:5" ht="17" x14ac:dyDescent="0.2">
      <c r="A563" s="50" t="s">
        <v>505</v>
      </c>
      <c r="B563" s="22">
        <v>604223</v>
      </c>
      <c r="C563" s="23" t="s">
        <v>17</v>
      </c>
      <c r="D563" s="25" t="s">
        <v>516</v>
      </c>
      <c r="E563" s="28"/>
    </row>
    <row r="564" spans="1:5" ht="17" x14ac:dyDescent="0.2">
      <c r="A564" s="50" t="s">
        <v>505</v>
      </c>
      <c r="B564" s="22">
        <v>518163</v>
      </c>
      <c r="C564" s="27" t="s">
        <v>17</v>
      </c>
      <c r="D564" s="25" t="s">
        <v>517</v>
      </c>
      <c r="E564" s="28"/>
    </row>
    <row r="565" spans="1:5" ht="17" x14ac:dyDescent="0.2">
      <c r="A565" s="50" t="s">
        <v>505</v>
      </c>
      <c r="B565" s="22">
        <v>616663</v>
      </c>
      <c r="C565" s="27" t="s">
        <v>17</v>
      </c>
      <c r="D565" s="25" t="s">
        <v>518</v>
      </c>
      <c r="E565" s="28"/>
    </row>
    <row r="566" spans="1:5" ht="17" x14ac:dyDescent="0.2">
      <c r="A566" s="50" t="s">
        <v>505</v>
      </c>
      <c r="B566" s="22">
        <v>456351</v>
      </c>
      <c r="C566" s="23" t="s">
        <v>17</v>
      </c>
      <c r="D566" s="56" t="s">
        <v>519</v>
      </c>
      <c r="E566" s="28"/>
    </row>
    <row r="567" spans="1:5" ht="17" x14ac:dyDescent="0.2">
      <c r="A567" s="50" t="s">
        <v>505</v>
      </c>
      <c r="B567" s="22">
        <v>191343</v>
      </c>
      <c r="C567" s="23" t="s">
        <v>17</v>
      </c>
      <c r="D567" s="52" t="str">
        <f>HYPERLINK("https://www.linkedin.com/learning/quick-fixes-for-poor-customer-service","Quick Fixes to Attain Excellent Customer Service")</f>
        <v>Quick Fixes to Attain Excellent Customer Service</v>
      </c>
      <c r="E567" s="28"/>
    </row>
    <row r="568" spans="1:5" ht="17" x14ac:dyDescent="0.2">
      <c r="A568" s="50" t="s">
        <v>505</v>
      </c>
      <c r="B568" s="22">
        <v>580637</v>
      </c>
      <c r="C568" s="27" t="s">
        <v>17</v>
      </c>
      <c r="D568" s="34" t="s">
        <v>520</v>
      </c>
      <c r="E568" s="28"/>
    </row>
    <row r="569" spans="1:5" ht="17" x14ac:dyDescent="0.2">
      <c r="A569" s="26" t="s">
        <v>505</v>
      </c>
      <c r="B569" s="22">
        <v>533229</v>
      </c>
      <c r="C569" s="23" t="s">
        <v>17</v>
      </c>
      <c r="D569" s="25" t="s">
        <v>521</v>
      </c>
      <c r="E569" s="28"/>
    </row>
    <row r="570" spans="1:5" ht="17" x14ac:dyDescent="0.2">
      <c r="A570" s="26" t="s">
        <v>505</v>
      </c>
      <c r="B570" s="22">
        <v>2815151</v>
      </c>
      <c r="C570" s="27" t="s">
        <v>17</v>
      </c>
      <c r="D570" s="25" t="s">
        <v>522</v>
      </c>
      <c r="E570" s="28"/>
    </row>
    <row r="571" spans="1:5" ht="17" x14ac:dyDescent="0.2">
      <c r="A571" s="50" t="s">
        <v>505</v>
      </c>
      <c r="B571" s="22">
        <v>2815152</v>
      </c>
      <c r="C571" s="27" t="s">
        <v>17</v>
      </c>
      <c r="D571" s="25" t="s">
        <v>523</v>
      </c>
      <c r="E571" s="28"/>
    </row>
    <row r="572" spans="1:5" ht="17" x14ac:dyDescent="0.2">
      <c r="A572" s="50" t="s">
        <v>505</v>
      </c>
      <c r="B572" s="22">
        <v>2823345</v>
      </c>
      <c r="C572" s="27" t="s">
        <v>17</v>
      </c>
      <c r="D572" s="25" t="s">
        <v>524</v>
      </c>
      <c r="E572" s="28"/>
    </row>
    <row r="573" spans="1:5" ht="17" x14ac:dyDescent="0.2">
      <c r="A573" s="50" t="s">
        <v>505</v>
      </c>
      <c r="B573" s="22">
        <v>2825032</v>
      </c>
      <c r="C573" s="27" t="s">
        <v>17</v>
      </c>
      <c r="D573" s="25" t="s">
        <v>525</v>
      </c>
      <c r="E573" s="28"/>
    </row>
    <row r="574" spans="1:5" ht="17" x14ac:dyDescent="0.2">
      <c r="A574" s="50" t="s">
        <v>505</v>
      </c>
      <c r="B574" s="22">
        <v>2824270</v>
      </c>
      <c r="C574" s="27" t="s">
        <v>17</v>
      </c>
      <c r="D574" s="25" t="s">
        <v>389</v>
      </c>
      <c r="E574" s="28"/>
    </row>
    <row r="575" spans="1:5" ht="17" x14ac:dyDescent="0.2">
      <c r="A575" s="50" t="s">
        <v>505</v>
      </c>
      <c r="B575" s="22">
        <v>2822580</v>
      </c>
      <c r="C575" s="27" t="s">
        <v>17</v>
      </c>
      <c r="D575" s="25" t="s">
        <v>526</v>
      </c>
      <c r="E575" s="28"/>
    </row>
    <row r="576" spans="1:5" ht="17" x14ac:dyDescent="0.2">
      <c r="A576" s="50" t="s">
        <v>505</v>
      </c>
      <c r="B576" s="22">
        <v>2822581</v>
      </c>
      <c r="C576" s="27" t="s">
        <v>17</v>
      </c>
      <c r="D576" s="25" t="s">
        <v>527</v>
      </c>
      <c r="E576" s="28"/>
    </row>
    <row r="577" spans="1:5" ht="17" x14ac:dyDescent="0.2">
      <c r="A577" s="50" t="s">
        <v>505</v>
      </c>
      <c r="B577" s="22">
        <v>2822582</v>
      </c>
      <c r="C577" s="27" t="s">
        <v>17</v>
      </c>
      <c r="D577" s="25" t="s">
        <v>528</v>
      </c>
      <c r="E577" s="28"/>
    </row>
    <row r="578" spans="1:5" ht="17" x14ac:dyDescent="0.2">
      <c r="A578" s="50" t="s">
        <v>505</v>
      </c>
      <c r="B578" s="22">
        <v>2823488</v>
      </c>
      <c r="C578" s="27" t="s">
        <v>17</v>
      </c>
      <c r="D578" s="25" t="s">
        <v>529</v>
      </c>
      <c r="E578" s="28"/>
    </row>
    <row r="579" spans="1:5" ht="17" x14ac:dyDescent="0.2">
      <c r="A579" s="50" t="s">
        <v>505</v>
      </c>
      <c r="B579" s="22">
        <v>2824356</v>
      </c>
      <c r="C579" s="27" t="s">
        <v>17</v>
      </c>
      <c r="D579" s="25" t="s">
        <v>530</v>
      </c>
      <c r="E579" s="28"/>
    </row>
    <row r="580" spans="1:5" ht="17" x14ac:dyDescent="0.2">
      <c r="A580" s="50" t="s">
        <v>505</v>
      </c>
      <c r="B580" s="22">
        <v>2824357</v>
      </c>
      <c r="C580" s="27" t="s">
        <v>17</v>
      </c>
      <c r="D580" s="25" t="s">
        <v>531</v>
      </c>
      <c r="E580" s="28"/>
    </row>
    <row r="581" spans="1:5" ht="17" x14ac:dyDescent="0.2">
      <c r="A581" s="50" t="s">
        <v>505</v>
      </c>
      <c r="B581" s="22">
        <v>2825603</v>
      </c>
      <c r="C581" s="27" t="s">
        <v>17</v>
      </c>
      <c r="D581" s="25" t="s">
        <v>532</v>
      </c>
      <c r="E581" s="28"/>
    </row>
    <row r="582" spans="1:5" ht="17" x14ac:dyDescent="0.2">
      <c r="A582" s="50" t="s">
        <v>505</v>
      </c>
      <c r="B582" s="22">
        <v>2841603</v>
      </c>
      <c r="C582" s="27" t="s">
        <v>17</v>
      </c>
      <c r="D582" s="25" t="s">
        <v>533</v>
      </c>
      <c r="E582" s="28"/>
    </row>
    <row r="583" spans="1:5" ht="17" x14ac:dyDescent="0.2">
      <c r="A583" s="50" t="s">
        <v>505</v>
      </c>
      <c r="B583" s="22">
        <v>2823199</v>
      </c>
      <c r="C583" s="27" t="s">
        <v>70</v>
      </c>
      <c r="D583" s="25" t="s">
        <v>534</v>
      </c>
      <c r="E583" s="28"/>
    </row>
    <row r="584" spans="1:5" ht="17" x14ac:dyDescent="0.2">
      <c r="A584" s="50" t="s">
        <v>505</v>
      </c>
      <c r="B584" s="22">
        <v>2823165</v>
      </c>
      <c r="C584" s="27" t="s">
        <v>70</v>
      </c>
      <c r="D584" s="25" t="s">
        <v>535</v>
      </c>
      <c r="E584" s="28"/>
    </row>
    <row r="585" spans="1:5" ht="17" x14ac:dyDescent="0.2">
      <c r="A585" s="50" t="s">
        <v>505</v>
      </c>
      <c r="B585" s="22">
        <v>574679</v>
      </c>
      <c r="C585" s="30" t="s">
        <v>70</v>
      </c>
      <c r="D585" s="25" t="s">
        <v>536</v>
      </c>
      <c r="E585" s="28"/>
    </row>
    <row r="586" spans="1:5" ht="17" x14ac:dyDescent="0.2">
      <c r="A586" s="50" t="s">
        <v>505</v>
      </c>
      <c r="B586" s="22">
        <v>616664</v>
      </c>
      <c r="C586" s="30" t="s">
        <v>70</v>
      </c>
      <c r="D586" s="25" t="s">
        <v>537</v>
      </c>
      <c r="E586" s="28"/>
    </row>
    <row r="587" spans="1:5" ht="17" x14ac:dyDescent="0.2">
      <c r="A587" s="50" t="s">
        <v>505</v>
      </c>
      <c r="B587" s="22">
        <v>661753</v>
      </c>
      <c r="C587" s="30" t="s">
        <v>70</v>
      </c>
      <c r="D587" s="25" t="s">
        <v>538</v>
      </c>
      <c r="E587" s="28"/>
    </row>
    <row r="588" spans="1:5" ht="17" x14ac:dyDescent="0.2">
      <c r="A588" s="50" t="s">
        <v>505</v>
      </c>
      <c r="B588" s="22">
        <v>704116</v>
      </c>
      <c r="C588" s="30" t="s">
        <v>70</v>
      </c>
      <c r="D588" s="25" t="s">
        <v>539</v>
      </c>
      <c r="E588" s="28"/>
    </row>
    <row r="589" spans="1:5" ht="17" x14ac:dyDescent="0.2">
      <c r="A589" s="50" t="s">
        <v>505</v>
      </c>
      <c r="B589" s="22">
        <v>616661</v>
      </c>
      <c r="C589" s="30" t="s">
        <v>70</v>
      </c>
      <c r="D589" s="34" t="s">
        <v>540</v>
      </c>
      <c r="E589" s="28"/>
    </row>
    <row r="590" spans="1:5" ht="17" x14ac:dyDescent="0.2">
      <c r="A590" s="50" t="s">
        <v>505</v>
      </c>
      <c r="B590" s="22">
        <v>630599</v>
      </c>
      <c r="C590" s="30" t="s">
        <v>70</v>
      </c>
      <c r="D590" s="25" t="s">
        <v>541</v>
      </c>
      <c r="E590" s="28"/>
    </row>
    <row r="591" spans="1:5" ht="17" x14ac:dyDescent="0.2">
      <c r="A591" s="50" t="s">
        <v>505</v>
      </c>
      <c r="B591" s="22">
        <v>645012</v>
      </c>
      <c r="C591" s="30" t="s">
        <v>70</v>
      </c>
      <c r="D591" s="25" t="s">
        <v>542</v>
      </c>
      <c r="E591" s="28"/>
    </row>
    <row r="592" spans="1:5" ht="17" x14ac:dyDescent="0.2">
      <c r="A592" s="50" t="s">
        <v>505</v>
      </c>
      <c r="B592" s="22">
        <v>2243042</v>
      </c>
      <c r="C592" s="30" t="s">
        <v>84</v>
      </c>
      <c r="D592" s="25" t="s">
        <v>543</v>
      </c>
      <c r="E592" s="28"/>
    </row>
    <row r="593" spans="1:5" ht="17" x14ac:dyDescent="0.2">
      <c r="A593" s="50" t="s">
        <v>505</v>
      </c>
      <c r="B593" s="22">
        <v>2822652</v>
      </c>
      <c r="C593" s="30" t="s">
        <v>84</v>
      </c>
      <c r="D593" s="48" t="s">
        <v>544</v>
      </c>
      <c r="E593" s="28"/>
    </row>
    <row r="594" spans="1:5" ht="17" x14ac:dyDescent="0.2">
      <c r="A594" s="50" t="s">
        <v>505</v>
      </c>
      <c r="B594" s="22">
        <v>2804060</v>
      </c>
      <c r="C594" s="27" t="s">
        <v>76</v>
      </c>
      <c r="D594" s="25" t="s">
        <v>545</v>
      </c>
      <c r="E594" s="28"/>
    </row>
    <row r="595" spans="1:5" ht="17" x14ac:dyDescent="0.2">
      <c r="A595" s="50" t="s">
        <v>505</v>
      </c>
      <c r="B595" s="22">
        <v>622062</v>
      </c>
      <c r="C595" s="27" t="s">
        <v>76</v>
      </c>
      <c r="D595" s="25" t="s">
        <v>546</v>
      </c>
      <c r="E595" s="28"/>
    </row>
    <row r="596" spans="1:5" ht="17" x14ac:dyDescent="0.2">
      <c r="A596" s="50" t="s">
        <v>505</v>
      </c>
      <c r="B596" s="22">
        <v>784279</v>
      </c>
      <c r="C596" s="27" t="s">
        <v>76</v>
      </c>
      <c r="D596" s="34" t="s">
        <v>547</v>
      </c>
      <c r="E596" s="28"/>
    </row>
    <row r="597" spans="1:5" ht="17" x14ac:dyDescent="0.2">
      <c r="A597" s="50" t="s">
        <v>505</v>
      </c>
      <c r="B597" s="22">
        <v>574680</v>
      </c>
      <c r="C597" s="27" t="s">
        <v>76</v>
      </c>
      <c r="D597" s="25" t="s">
        <v>548</v>
      </c>
      <c r="E597" s="28"/>
    </row>
    <row r="598" spans="1:5" ht="17" x14ac:dyDescent="0.2">
      <c r="A598" s="50" t="s">
        <v>505</v>
      </c>
      <c r="B598" s="22">
        <v>748569</v>
      </c>
      <c r="C598" s="27" t="s">
        <v>76</v>
      </c>
      <c r="D598" s="25" t="s">
        <v>549</v>
      </c>
      <c r="E598" s="28"/>
    </row>
    <row r="599" spans="1:5" ht="17" x14ac:dyDescent="0.2">
      <c r="A599" s="50" t="s">
        <v>505</v>
      </c>
      <c r="B599" s="22">
        <v>791341</v>
      </c>
      <c r="C599" s="27" t="s">
        <v>76</v>
      </c>
      <c r="D599" s="52" t="str">
        <f>HYPERLINK("https://www.linkedin.com/learning/customer-service-blueprinting","Customer Experience: Service Blueprinting")</f>
        <v>Customer Experience: Service Blueprinting</v>
      </c>
      <c r="E599" s="28"/>
    </row>
    <row r="600" spans="1:5" ht="17" x14ac:dyDescent="0.2">
      <c r="A600" s="50" t="s">
        <v>505</v>
      </c>
      <c r="B600" s="22">
        <v>802825</v>
      </c>
      <c r="C600" s="57" t="s">
        <v>76</v>
      </c>
      <c r="D600" s="25" t="s">
        <v>550</v>
      </c>
      <c r="E600" s="28"/>
    </row>
    <row r="601" spans="1:5" ht="17" x14ac:dyDescent="0.2">
      <c r="A601" s="50" t="s">
        <v>505</v>
      </c>
      <c r="B601" s="22">
        <v>667357</v>
      </c>
      <c r="C601" s="57" t="s">
        <v>76</v>
      </c>
      <c r="D601" s="25" t="s">
        <v>551</v>
      </c>
      <c r="E601" s="28"/>
    </row>
    <row r="602" spans="1:5" ht="17" x14ac:dyDescent="0.2">
      <c r="A602" s="50" t="s">
        <v>505</v>
      </c>
      <c r="B602" s="22">
        <v>191342</v>
      </c>
      <c r="C602" s="27" t="s">
        <v>76</v>
      </c>
      <c r="D602" s="25" t="s">
        <v>552</v>
      </c>
      <c r="E602" s="28"/>
    </row>
    <row r="603" spans="1:5" ht="17" x14ac:dyDescent="0.2">
      <c r="A603" s="50" t="s">
        <v>505</v>
      </c>
      <c r="B603" s="22">
        <v>693077</v>
      </c>
      <c r="C603" s="27" t="s">
        <v>76</v>
      </c>
      <c r="D603" s="25" t="s">
        <v>553</v>
      </c>
      <c r="E603" s="28"/>
    </row>
    <row r="604" spans="1:5" ht="17" x14ac:dyDescent="0.2">
      <c r="A604" s="50" t="s">
        <v>505</v>
      </c>
      <c r="B604" s="22">
        <v>167069</v>
      </c>
      <c r="C604" s="27" t="s">
        <v>76</v>
      </c>
      <c r="D604" s="25" t="s">
        <v>554</v>
      </c>
      <c r="E604" s="28"/>
    </row>
    <row r="605" spans="1:5" ht="17" x14ac:dyDescent="0.2">
      <c r="A605" s="50" t="s">
        <v>505</v>
      </c>
      <c r="B605" s="22">
        <v>456352</v>
      </c>
      <c r="C605" s="27" t="s">
        <v>76</v>
      </c>
      <c r="D605" s="25" t="s">
        <v>555</v>
      </c>
      <c r="E605" s="28"/>
    </row>
    <row r="606" spans="1:5" ht="17" x14ac:dyDescent="0.2">
      <c r="A606" s="50" t="s">
        <v>505</v>
      </c>
      <c r="B606" s="22">
        <v>492724</v>
      </c>
      <c r="C606" s="57" t="s">
        <v>76</v>
      </c>
      <c r="D606" s="25" t="s">
        <v>480</v>
      </c>
      <c r="E606" s="28"/>
    </row>
    <row r="607" spans="1:5" ht="17" x14ac:dyDescent="0.2">
      <c r="A607" s="50" t="s">
        <v>505</v>
      </c>
      <c r="B607" s="22">
        <v>601774</v>
      </c>
      <c r="C607" s="27" t="s">
        <v>76</v>
      </c>
      <c r="D607" s="25" t="s">
        <v>556</v>
      </c>
      <c r="E607" s="28"/>
    </row>
    <row r="608" spans="1:5" ht="17" x14ac:dyDescent="0.2">
      <c r="A608" s="50" t="s">
        <v>505</v>
      </c>
      <c r="B608" s="22">
        <v>191341</v>
      </c>
      <c r="C608" s="27" t="s">
        <v>76</v>
      </c>
      <c r="D608" s="25" t="s">
        <v>557</v>
      </c>
      <c r="E608" s="28"/>
    </row>
    <row r="609" spans="1:5" ht="17" x14ac:dyDescent="0.2">
      <c r="A609" s="50" t="s">
        <v>505</v>
      </c>
      <c r="B609" s="22">
        <v>191340</v>
      </c>
      <c r="C609" s="27" t="s">
        <v>76</v>
      </c>
      <c r="D609" s="25" t="s">
        <v>558</v>
      </c>
      <c r="E609" s="28"/>
    </row>
    <row r="610" spans="1:5" ht="17" x14ac:dyDescent="0.2">
      <c r="A610" s="50" t="s">
        <v>505</v>
      </c>
      <c r="B610" s="22">
        <v>2815148</v>
      </c>
      <c r="C610" s="27" t="s">
        <v>76</v>
      </c>
      <c r="D610" s="25" t="s">
        <v>559</v>
      </c>
      <c r="E610" s="28"/>
    </row>
    <row r="611" spans="1:5" ht="17" x14ac:dyDescent="0.2">
      <c r="A611" s="50" t="s">
        <v>505</v>
      </c>
      <c r="B611" s="22">
        <v>2254038</v>
      </c>
      <c r="C611" s="27" t="s">
        <v>76</v>
      </c>
      <c r="D611" s="25" t="s">
        <v>560</v>
      </c>
      <c r="E611" s="28"/>
    </row>
    <row r="612" spans="1:5" ht="17" x14ac:dyDescent="0.2">
      <c r="A612" s="50" t="s">
        <v>505</v>
      </c>
      <c r="B612" s="22">
        <v>2813275</v>
      </c>
      <c r="C612" s="27" t="s">
        <v>76</v>
      </c>
      <c r="D612" s="25" t="s">
        <v>561</v>
      </c>
      <c r="E612" s="28"/>
    </row>
    <row r="613" spans="1:5" ht="17" x14ac:dyDescent="0.2">
      <c r="A613" s="50" t="s">
        <v>505</v>
      </c>
      <c r="B613" s="22">
        <v>2822209</v>
      </c>
      <c r="C613" s="27" t="s">
        <v>76</v>
      </c>
      <c r="D613" s="25" t="s">
        <v>562</v>
      </c>
      <c r="E613" s="28"/>
    </row>
    <row r="614" spans="1:5" ht="17" x14ac:dyDescent="0.2">
      <c r="A614" s="50" t="s">
        <v>505</v>
      </c>
      <c r="B614" s="22">
        <v>2815115</v>
      </c>
      <c r="C614" s="27" t="s">
        <v>76</v>
      </c>
      <c r="D614" s="25" t="s">
        <v>563</v>
      </c>
      <c r="E614" s="28"/>
    </row>
    <row r="615" spans="1:5" ht="17" x14ac:dyDescent="0.2">
      <c r="A615" s="50" t="s">
        <v>505</v>
      </c>
      <c r="B615" s="22">
        <v>2975167</v>
      </c>
      <c r="C615" s="27" t="s">
        <v>76</v>
      </c>
      <c r="D615" s="25" t="s">
        <v>196</v>
      </c>
      <c r="E615" s="28"/>
    </row>
    <row r="616" spans="1:5" ht="17" x14ac:dyDescent="0.2">
      <c r="A616" s="50" t="s">
        <v>564</v>
      </c>
      <c r="B616" s="19" t="s">
        <v>10</v>
      </c>
      <c r="C616" s="19" t="s">
        <v>11</v>
      </c>
      <c r="D616" s="21" t="s">
        <v>12</v>
      </c>
      <c r="E616" s="21" t="s">
        <v>13</v>
      </c>
    </row>
    <row r="617" spans="1:5" ht="17" x14ac:dyDescent="0.2">
      <c r="A617" s="50" t="s">
        <v>564</v>
      </c>
      <c r="B617" s="22">
        <v>664827</v>
      </c>
      <c r="C617" s="27" t="s">
        <v>14</v>
      </c>
      <c r="D617" s="25" t="s">
        <v>565</v>
      </c>
      <c r="E617" s="25" t="s">
        <v>566</v>
      </c>
    </row>
    <row r="618" spans="1:5" ht="17" x14ac:dyDescent="0.2">
      <c r="A618" s="50" t="s">
        <v>564</v>
      </c>
      <c r="B618" s="29">
        <v>2806960</v>
      </c>
      <c r="C618" s="27" t="s">
        <v>14</v>
      </c>
      <c r="D618" s="58" t="str">
        <f>HYPERLINK("https://www.linkedin.com/learning/cert-prep-excel-expert-microsoft-office-specialist-for-office-2019-and-office-365/prove-your-excel-skills-as-a-mos-expert","Cert Prep: Excel Expert - Microsoft Office Specialist for Office 2019 and Office 365")</f>
        <v>Cert Prep: Excel Expert - Microsoft Office Specialist for Office 2019 and Office 365</v>
      </c>
      <c r="E618" s="25" t="s">
        <v>567</v>
      </c>
    </row>
    <row r="619" spans="1:5" ht="17" x14ac:dyDescent="0.2">
      <c r="A619" s="50" t="s">
        <v>564</v>
      </c>
      <c r="B619" s="22">
        <v>531463</v>
      </c>
      <c r="C619" s="27" t="s">
        <v>14</v>
      </c>
      <c r="D619" s="25" t="s">
        <v>568</v>
      </c>
      <c r="E619" s="25" t="str">
        <f>HYPERLINK("https://www.linkedin.com/learning/paths/become-a-business-analytics-expert?u=104","Become a Business Analytics Expert")</f>
        <v>Become a Business Analytics Expert</v>
      </c>
    </row>
    <row r="620" spans="1:5" ht="17" x14ac:dyDescent="0.2">
      <c r="A620" s="50" t="s">
        <v>564</v>
      </c>
      <c r="B620" s="22">
        <v>5022330</v>
      </c>
      <c r="C620" s="27" t="s">
        <v>14</v>
      </c>
      <c r="D620" s="52" t="str">
        <f>HYPERLINK("https://www.linkedin.com/learning/people-analytics/a-brief-history-of-people-analytics","People Analytics")</f>
        <v>People Analytics</v>
      </c>
      <c r="E620" s="25" t="s">
        <v>569</v>
      </c>
    </row>
    <row r="621" spans="1:5" ht="17" x14ac:dyDescent="0.2">
      <c r="A621" s="50" t="s">
        <v>564</v>
      </c>
      <c r="B621" s="22">
        <v>2819145</v>
      </c>
      <c r="C621" s="57" t="s">
        <v>14</v>
      </c>
      <c r="D621" s="25" t="s">
        <v>570</v>
      </c>
      <c r="E621" s="25" t="s">
        <v>571</v>
      </c>
    </row>
    <row r="622" spans="1:5" ht="17" x14ac:dyDescent="0.2">
      <c r="A622" s="50" t="s">
        <v>564</v>
      </c>
      <c r="B622" s="22">
        <v>2825682</v>
      </c>
      <c r="C622" s="27" t="s">
        <v>14</v>
      </c>
      <c r="D622" s="25" t="s">
        <v>572</v>
      </c>
      <c r="E622" s="25" t="s">
        <v>573</v>
      </c>
    </row>
    <row r="623" spans="1:5" ht="17" x14ac:dyDescent="0.2">
      <c r="A623" s="50" t="s">
        <v>564</v>
      </c>
      <c r="B623" s="29">
        <v>2841395</v>
      </c>
      <c r="C623" s="27" t="s">
        <v>14</v>
      </c>
      <c r="D623" s="25" t="s">
        <v>574</v>
      </c>
      <c r="E623" s="25" t="str">
        <f>HYPERLINK("https://www.linkedin.com/learning/paths/become-a-data-visualization-specialist-concepts?u=104","Become a Data Visualization Specialist: Concepts")</f>
        <v>Become a Data Visualization Specialist: Concepts</v>
      </c>
    </row>
    <row r="624" spans="1:5" ht="17" x14ac:dyDescent="0.2">
      <c r="A624" s="50" t="s">
        <v>564</v>
      </c>
      <c r="B624" s="22">
        <v>2805908</v>
      </c>
      <c r="C624" s="27" t="s">
        <v>17</v>
      </c>
      <c r="D624" s="25" t="s">
        <v>575</v>
      </c>
      <c r="E624" s="25" t="str">
        <f>HYPERLINK("https://www.linkedin.com/learning/paths/become-a-data-visualization-specialist-tools?u=104","Become a Data Visualization Specialist: Tools")</f>
        <v>Become a Data Visualization Specialist: Tools</v>
      </c>
    </row>
    <row r="625" spans="1:5" ht="17" x14ac:dyDescent="0.2">
      <c r="A625" s="50" t="s">
        <v>564</v>
      </c>
      <c r="B625" s="22">
        <v>2938118</v>
      </c>
      <c r="C625" s="59" t="s">
        <v>84</v>
      </c>
      <c r="D625" s="25" t="s">
        <v>576</v>
      </c>
      <c r="E625" s="25" t="s">
        <v>577</v>
      </c>
    </row>
    <row r="626" spans="1:5" ht="17" x14ac:dyDescent="0.2">
      <c r="A626" s="50" t="s">
        <v>564</v>
      </c>
      <c r="B626" s="22">
        <v>2823140</v>
      </c>
      <c r="C626" s="59" t="s">
        <v>84</v>
      </c>
      <c r="D626" s="25" t="s">
        <v>578</v>
      </c>
      <c r="E626" s="60" t="str">
        <f>HYPERLINK("https://www.linkedin.com/learning/paths/master-advanced-excel-data-analytics-skills","Master Advanced Excel Data &amp; Analytics Skills")</f>
        <v>Master Advanced Excel Data &amp; Analytics Skills</v>
      </c>
    </row>
    <row r="627" spans="1:5" ht="17" x14ac:dyDescent="0.2">
      <c r="A627" s="50" t="s">
        <v>564</v>
      </c>
      <c r="B627" s="22">
        <v>2841519</v>
      </c>
      <c r="C627" s="59" t="s">
        <v>84</v>
      </c>
      <c r="D627" s="25" t="s">
        <v>579</v>
      </c>
      <c r="E627" s="25" t="str">
        <f>HYPERLINK("https://www.linkedin.com/learning/paths/master-excel-for-data-science","Master Excel for Data Science")</f>
        <v>Master Excel for Data Science</v>
      </c>
    </row>
    <row r="628" spans="1:5" ht="17" x14ac:dyDescent="0.2">
      <c r="A628" s="50" t="s">
        <v>564</v>
      </c>
      <c r="B628" s="22">
        <v>2857067</v>
      </c>
      <c r="C628" s="59" t="s">
        <v>84</v>
      </c>
      <c r="D628" s="25" t="s">
        <v>580</v>
      </c>
      <c r="E628" s="25" t="str">
        <f>HYPERLINK("https://www.linkedin.com/learning/paths/master-python-for-data-science","Master Python for Data Science")</f>
        <v>Master Python for Data Science</v>
      </c>
    </row>
    <row r="629" spans="1:5" ht="17" x14ac:dyDescent="0.2">
      <c r="A629" s="50" t="s">
        <v>564</v>
      </c>
      <c r="B629" s="29">
        <v>573131</v>
      </c>
      <c r="C629" s="27" t="s">
        <v>84</v>
      </c>
      <c r="D629" s="25" t="s">
        <v>581</v>
      </c>
      <c r="E629" s="28"/>
    </row>
    <row r="630" spans="1:5" ht="17" x14ac:dyDescent="0.2">
      <c r="A630" s="50" t="s">
        <v>564</v>
      </c>
      <c r="B630" s="29">
        <v>630612</v>
      </c>
      <c r="C630" s="27" t="s">
        <v>84</v>
      </c>
      <c r="D630" s="25" t="s">
        <v>582</v>
      </c>
      <c r="E630" s="28"/>
    </row>
    <row r="631" spans="1:5" ht="17" x14ac:dyDescent="0.2">
      <c r="A631" s="50" t="s">
        <v>564</v>
      </c>
      <c r="B631" s="29">
        <v>573130</v>
      </c>
      <c r="C631" s="27" t="s">
        <v>84</v>
      </c>
      <c r="D631" s="25" t="s">
        <v>583</v>
      </c>
      <c r="E631" s="28"/>
    </row>
    <row r="632" spans="1:5" ht="17" x14ac:dyDescent="0.2">
      <c r="A632" s="50" t="s">
        <v>564</v>
      </c>
      <c r="B632" s="22">
        <v>490754</v>
      </c>
      <c r="C632" s="27" t="s">
        <v>17</v>
      </c>
      <c r="D632" s="34" t="s">
        <v>584</v>
      </c>
      <c r="E632" s="28"/>
    </row>
    <row r="633" spans="1:5" ht="17" x14ac:dyDescent="0.2">
      <c r="A633" s="50" t="s">
        <v>564</v>
      </c>
      <c r="B633" s="22">
        <v>601768</v>
      </c>
      <c r="C633" s="27" t="s">
        <v>17</v>
      </c>
      <c r="D633" s="25" t="s">
        <v>585</v>
      </c>
      <c r="E633" s="28"/>
    </row>
    <row r="634" spans="1:5" ht="17" x14ac:dyDescent="0.2">
      <c r="A634" s="50" t="s">
        <v>564</v>
      </c>
      <c r="B634" s="22">
        <v>490753</v>
      </c>
      <c r="C634" s="27" t="s">
        <v>17</v>
      </c>
      <c r="D634" s="25" t="s">
        <v>586</v>
      </c>
      <c r="E634" s="28"/>
    </row>
    <row r="635" spans="1:5" ht="17" x14ac:dyDescent="0.2">
      <c r="A635" s="50" t="s">
        <v>564</v>
      </c>
      <c r="B635" s="22">
        <v>765327</v>
      </c>
      <c r="C635" s="27" t="s">
        <v>17</v>
      </c>
      <c r="D635" s="25" t="s">
        <v>587</v>
      </c>
      <c r="E635" s="28"/>
    </row>
    <row r="636" spans="1:5" ht="17" x14ac:dyDescent="0.2">
      <c r="A636" s="50" t="s">
        <v>564</v>
      </c>
      <c r="B636" s="22">
        <v>664826</v>
      </c>
      <c r="C636" s="27" t="s">
        <v>17</v>
      </c>
      <c r="D636" s="25" t="s">
        <v>588</v>
      </c>
    </row>
    <row r="637" spans="1:5" ht="17" x14ac:dyDescent="0.2">
      <c r="A637" s="50" t="s">
        <v>564</v>
      </c>
      <c r="B637" s="22">
        <v>385697</v>
      </c>
      <c r="C637" s="27" t="s">
        <v>17</v>
      </c>
      <c r="D637" s="34" t="s">
        <v>589</v>
      </c>
    </row>
    <row r="638" spans="1:5" ht="17" x14ac:dyDescent="0.2">
      <c r="A638" s="50" t="s">
        <v>564</v>
      </c>
      <c r="B638" s="22">
        <v>5026557</v>
      </c>
      <c r="C638" s="27" t="s">
        <v>17</v>
      </c>
      <c r="D638" s="25" t="s">
        <v>590</v>
      </c>
    </row>
    <row r="639" spans="1:5" ht="17" x14ac:dyDescent="0.2">
      <c r="A639" s="50" t="s">
        <v>564</v>
      </c>
      <c r="B639" s="22">
        <v>571622</v>
      </c>
      <c r="C639" s="27" t="s">
        <v>17</v>
      </c>
      <c r="D639" s="25" t="s">
        <v>591</v>
      </c>
    </row>
    <row r="640" spans="1:5" ht="17" x14ac:dyDescent="0.2">
      <c r="A640" s="50" t="s">
        <v>564</v>
      </c>
      <c r="B640" s="22">
        <v>624309</v>
      </c>
      <c r="C640" s="23" t="s">
        <v>17</v>
      </c>
      <c r="D640" s="25" t="s">
        <v>592</v>
      </c>
    </row>
    <row r="641" spans="1:5" ht="17" x14ac:dyDescent="0.2">
      <c r="A641" s="50" t="s">
        <v>564</v>
      </c>
      <c r="B641" s="22">
        <v>477450</v>
      </c>
      <c r="C641" s="27" t="s">
        <v>17</v>
      </c>
      <c r="D641" s="25" t="s">
        <v>593</v>
      </c>
    </row>
    <row r="642" spans="1:5" ht="17" x14ac:dyDescent="0.2">
      <c r="A642" s="50" t="s">
        <v>564</v>
      </c>
      <c r="B642" s="22">
        <v>477452</v>
      </c>
      <c r="C642" s="27" t="s">
        <v>17</v>
      </c>
      <c r="D642" s="25" t="s">
        <v>594</v>
      </c>
    </row>
    <row r="643" spans="1:5" ht="17" x14ac:dyDescent="0.2">
      <c r="A643" s="50" t="s">
        <v>564</v>
      </c>
      <c r="B643" s="29">
        <v>5005071</v>
      </c>
      <c r="C643" s="27" t="s">
        <v>17</v>
      </c>
      <c r="D643" s="25" t="s">
        <v>595</v>
      </c>
      <c r="E643" s="61"/>
    </row>
    <row r="644" spans="1:5" ht="17" x14ac:dyDescent="0.2">
      <c r="A644" s="50" t="s">
        <v>564</v>
      </c>
      <c r="B644" s="22">
        <v>806168</v>
      </c>
      <c r="C644" s="27" t="s">
        <v>17</v>
      </c>
      <c r="D644" s="48" t="s">
        <v>596</v>
      </c>
      <c r="E644" s="28"/>
    </row>
    <row r="645" spans="1:5" ht="17" x14ac:dyDescent="0.2">
      <c r="A645" s="50" t="s">
        <v>564</v>
      </c>
      <c r="B645" s="22">
        <v>418857</v>
      </c>
      <c r="C645" s="27" t="s">
        <v>17</v>
      </c>
      <c r="D645" s="25" t="s">
        <v>597</v>
      </c>
      <c r="E645" s="28"/>
    </row>
    <row r="646" spans="1:5" ht="17" x14ac:dyDescent="0.2">
      <c r="A646" s="50" t="s">
        <v>564</v>
      </c>
      <c r="B646" s="22">
        <v>604214</v>
      </c>
      <c r="C646" s="27" t="s">
        <v>17</v>
      </c>
      <c r="D646" s="25" t="s">
        <v>598</v>
      </c>
      <c r="E646" s="28"/>
    </row>
    <row r="647" spans="1:5" ht="17" x14ac:dyDescent="0.2">
      <c r="A647" s="50" t="s">
        <v>564</v>
      </c>
      <c r="B647" s="22">
        <v>529333</v>
      </c>
      <c r="C647" s="27" t="s">
        <v>17</v>
      </c>
      <c r="D647" s="52" t="str">
        <f>HYPERLINK("https://www.linkedin.com/learning/machine-learning-ai-foundations-decision-trees","Machine Learning and AI Foundations: Decision Trees")</f>
        <v>Machine Learning and AI Foundations: Decision Trees</v>
      </c>
      <c r="E647" s="28"/>
    </row>
    <row r="648" spans="1:5" ht="17" x14ac:dyDescent="0.2">
      <c r="A648" s="50" t="s">
        <v>564</v>
      </c>
      <c r="B648" s="22">
        <v>672259</v>
      </c>
      <c r="C648" s="27" t="s">
        <v>17</v>
      </c>
      <c r="D648" s="25" t="s">
        <v>599</v>
      </c>
      <c r="E648" s="28"/>
    </row>
    <row r="649" spans="1:5" ht="17" x14ac:dyDescent="0.2">
      <c r="A649" s="50" t="s">
        <v>564</v>
      </c>
      <c r="B649" s="22">
        <v>427473</v>
      </c>
      <c r="C649" s="27" t="s">
        <v>17</v>
      </c>
      <c r="D649" s="25" t="s">
        <v>600</v>
      </c>
      <c r="E649" s="28"/>
    </row>
    <row r="650" spans="1:5" ht="17" x14ac:dyDescent="0.2">
      <c r="A650" s="50" t="s">
        <v>564</v>
      </c>
      <c r="B650" s="29">
        <v>2811017</v>
      </c>
      <c r="C650" s="27" t="s">
        <v>17</v>
      </c>
      <c r="D650" s="48" t="s">
        <v>601</v>
      </c>
      <c r="E650" s="28"/>
    </row>
    <row r="651" spans="1:5" ht="17" x14ac:dyDescent="0.2">
      <c r="A651" s="50" t="s">
        <v>564</v>
      </c>
      <c r="B651" s="22">
        <v>2804664</v>
      </c>
      <c r="C651" s="27" t="s">
        <v>17</v>
      </c>
      <c r="D651" s="25" t="s">
        <v>602</v>
      </c>
      <c r="E651" s="28"/>
    </row>
    <row r="652" spans="1:5" ht="17" x14ac:dyDescent="0.2">
      <c r="A652" s="50" t="s">
        <v>564</v>
      </c>
      <c r="B652" s="22">
        <v>2823034</v>
      </c>
      <c r="C652" s="57" t="s">
        <v>17</v>
      </c>
      <c r="D652" s="25" t="s">
        <v>603</v>
      </c>
      <c r="E652" s="28"/>
    </row>
    <row r="653" spans="1:5" ht="17" x14ac:dyDescent="0.2">
      <c r="A653" s="26" t="s">
        <v>564</v>
      </c>
      <c r="B653" s="22">
        <v>2822592</v>
      </c>
      <c r="C653" s="57" t="s">
        <v>17</v>
      </c>
      <c r="D653" s="25" t="s">
        <v>604</v>
      </c>
      <c r="E653" s="28"/>
    </row>
    <row r="654" spans="1:5" ht="17" x14ac:dyDescent="0.2">
      <c r="A654" s="26" t="s">
        <v>564</v>
      </c>
      <c r="B654" s="22">
        <v>2280170</v>
      </c>
      <c r="C654" s="57" t="s">
        <v>17</v>
      </c>
      <c r="D654" s="25" t="s">
        <v>605</v>
      </c>
      <c r="E654" s="28"/>
    </row>
    <row r="655" spans="1:5" ht="17" x14ac:dyDescent="0.2">
      <c r="A655" s="26" t="s">
        <v>564</v>
      </c>
      <c r="B655" s="22">
        <v>2823582</v>
      </c>
      <c r="C655" s="57" t="s">
        <v>17</v>
      </c>
      <c r="D655" s="25" t="s">
        <v>606</v>
      </c>
      <c r="E655" s="28"/>
    </row>
    <row r="656" spans="1:5" ht="17" x14ac:dyDescent="0.2">
      <c r="A656" s="50" t="s">
        <v>564</v>
      </c>
      <c r="B656" s="22">
        <v>2825620</v>
      </c>
      <c r="C656" s="57" t="s">
        <v>17</v>
      </c>
      <c r="D656" s="25" t="s">
        <v>392</v>
      </c>
      <c r="E656" s="28"/>
    </row>
    <row r="657" spans="1:5" ht="17" x14ac:dyDescent="0.2">
      <c r="A657" s="50" t="s">
        <v>564</v>
      </c>
      <c r="B657" s="22">
        <v>2823513</v>
      </c>
      <c r="C657" s="57" t="s">
        <v>17</v>
      </c>
      <c r="D657" s="25" t="s">
        <v>607</v>
      </c>
      <c r="E657" s="28"/>
    </row>
    <row r="658" spans="1:5" ht="17" x14ac:dyDescent="0.2">
      <c r="A658" s="50" t="s">
        <v>564</v>
      </c>
      <c r="B658" s="22">
        <v>2810169</v>
      </c>
      <c r="C658" s="30" t="s">
        <v>70</v>
      </c>
      <c r="D658" s="25" t="s">
        <v>608</v>
      </c>
      <c r="E658" s="28"/>
    </row>
    <row r="659" spans="1:5" ht="17" x14ac:dyDescent="0.2">
      <c r="A659" s="50" t="s">
        <v>564</v>
      </c>
      <c r="B659" s="22">
        <v>5034173</v>
      </c>
      <c r="C659" s="30" t="s">
        <v>70</v>
      </c>
      <c r="D659" s="25" t="s">
        <v>609</v>
      </c>
      <c r="E659" s="28"/>
    </row>
    <row r="660" spans="1:5" ht="17" x14ac:dyDescent="0.2">
      <c r="A660" s="50" t="s">
        <v>564</v>
      </c>
      <c r="B660" s="22">
        <v>2822057</v>
      </c>
      <c r="C660" s="30" t="s">
        <v>70</v>
      </c>
      <c r="D660" s="25" t="s">
        <v>610</v>
      </c>
      <c r="E660" s="28"/>
    </row>
    <row r="661" spans="1:5" ht="17" x14ac:dyDescent="0.2">
      <c r="A661" s="50" t="s">
        <v>564</v>
      </c>
      <c r="B661" s="22">
        <v>2825498</v>
      </c>
      <c r="C661" s="30" t="s">
        <v>70</v>
      </c>
      <c r="D661" s="25" t="s">
        <v>611</v>
      </c>
      <c r="E661" s="28"/>
    </row>
    <row r="662" spans="1:5" ht="17" x14ac:dyDescent="0.2">
      <c r="A662" s="50" t="s">
        <v>564</v>
      </c>
      <c r="B662" s="22">
        <v>2817066</v>
      </c>
      <c r="C662" s="30" t="s">
        <v>70</v>
      </c>
      <c r="D662" s="25" t="s">
        <v>612</v>
      </c>
      <c r="E662" s="28"/>
    </row>
    <row r="663" spans="1:5" ht="17" x14ac:dyDescent="0.2">
      <c r="A663" s="50" t="s">
        <v>564</v>
      </c>
      <c r="B663" s="22">
        <v>2822406</v>
      </c>
      <c r="C663" s="30" t="s">
        <v>70</v>
      </c>
      <c r="D663" s="25" t="s">
        <v>613</v>
      </c>
      <c r="E663" s="28"/>
    </row>
    <row r="664" spans="1:5" ht="17" x14ac:dyDescent="0.2">
      <c r="A664" s="50" t="s">
        <v>564</v>
      </c>
      <c r="B664" s="22">
        <v>534411</v>
      </c>
      <c r="C664" s="30" t="s">
        <v>70</v>
      </c>
      <c r="D664" s="25" t="s">
        <v>614</v>
      </c>
      <c r="E664" s="28"/>
    </row>
    <row r="665" spans="1:5" ht="17" x14ac:dyDescent="0.2">
      <c r="A665" s="50" t="s">
        <v>564</v>
      </c>
      <c r="B665" s="22">
        <v>475936</v>
      </c>
      <c r="C665" s="30" t="s">
        <v>70</v>
      </c>
      <c r="D665" s="25" t="s">
        <v>615</v>
      </c>
      <c r="E665" s="28"/>
    </row>
    <row r="666" spans="1:5" ht="17" x14ac:dyDescent="0.2">
      <c r="A666" s="50" t="s">
        <v>564</v>
      </c>
      <c r="B666" s="22">
        <v>5028661</v>
      </c>
      <c r="C666" s="30" t="s">
        <v>70</v>
      </c>
      <c r="D666" s="25" t="s">
        <v>616</v>
      </c>
      <c r="E666" s="28"/>
    </row>
    <row r="667" spans="1:5" ht="17" x14ac:dyDescent="0.2">
      <c r="A667" s="50" t="s">
        <v>564</v>
      </c>
      <c r="B667" s="22">
        <v>495322</v>
      </c>
      <c r="C667" s="30" t="s">
        <v>70</v>
      </c>
      <c r="D667" s="25" t="s">
        <v>617</v>
      </c>
      <c r="E667" s="28"/>
    </row>
    <row r="668" spans="1:5" ht="17" x14ac:dyDescent="0.2">
      <c r="A668" s="50" t="s">
        <v>564</v>
      </c>
      <c r="B668" s="22">
        <v>2824299</v>
      </c>
      <c r="C668" s="30" t="s">
        <v>70</v>
      </c>
      <c r="D668" s="25" t="s">
        <v>618</v>
      </c>
      <c r="E668" s="28"/>
    </row>
    <row r="669" spans="1:5" ht="17" x14ac:dyDescent="0.2">
      <c r="A669" s="50" t="s">
        <v>564</v>
      </c>
      <c r="B669" s="29">
        <v>2822641</v>
      </c>
      <c r="C669" s="27" t="s">
        <v>70</v>
      </c>
      <c r="D669" s="25" t="s">
        <v>619</v>
      </c>
      <c r="E669" s="28"/>
    </row>
    <row r="670" spans="1:5" ht="17" x14ac:dyDescent="0.2">
      <c r="A670" s="50" t="s">
        <v>564</v>
      </c>
      <c r="B670" s="22">
        <v>534413</v>
      </c>
      <c r="C670" s="57" t="s">
        <v>76</v>
      </c>
      <c r="D670" s="25" t="s">
        <v>620</v>
      </c>
      <c r="E670" s="28"/>
    </row>
    <row r="671" spans="1:5" ht="17" x14ac:dyDescent="0.2">
      <c r="A671" s="50" t="s">
        <v>564</v>
      </c>
      <c r="B671" s="22">
        <v>647676</v>
      </c>
      <c r="C671" s="57" t="s">
        <v>76</v>
      </c>
      <c r="D671" s="34" t="s">
        <v>621</v>
      </c>
      <c r="E671" s="28"/>
    </row>
    <row r="672" spans="1:5" ht="17" x14ac:dyDescent="0.2">
      <c r="A672" s="50" t="s">
        <v>564</v>
      </c>
      <c r="B672" s="22">
        <v>647677</v>
      </c>
      <c r="C672" s="27" t="s">
        <v>76</v>
      </c>
      <c r="D672" s="34" t="s">
        <v>622</v>
      </c>
      <c r="E672" s="28"/>
    </row>
    <row r="673" spans="1:5" ht="17" x14ac:dyDescent="0.2">
      <c r="A673" s="50" t="s">
        <v>564</v>
      </c>
      <c r="B673" s="22">
        <v>475454</v>
      </c>
      <c r="C673" s="57" t="s">
        <v>76</v>
      </c>
      <c r="D673" s="25" t="s">
        <v>623</v>
      </c>
      <c r="E673" s="28"/>
    </row>
    <row r="674" spans="1:5" ht="17" x14ac:dyDescent="0.2">
      <c r="A674" s="50" t="s">
        <v>564</v>
      </c>
      <c r="B674" s="22">
        <v>618718</v>
      </c>
      <c r="C674" s="57" t="s">
        <v>76</v>
      </c>
      <c r="D674" s="25" t="s">
        <v>624</v>
      </c>
      <c r="E674" s="28"/>
    </row>
    <row r="675" spans="1:5" ht="17" x14ac:dyDescent="0.2">
      <c r="A675" s="50" t="s">
        <v>564</v>
      </c>
      <c r="B675" s="22">
        <v>490803</v>
      </c>
      <c r="C675" s="23" t="s">
        <v>76</v>
      </c>
      <c r="D675" s="25" t="s">
        <v>625</v>
      </c>
      <c r="E675" s="28"/>
    </row>
    <row r="676" spans="1:5" ht="17" x14ac:dyDescent="0.2">
      <c r="A676" s="50" t="s">
        <v>564</v>
      </c>
      <c r="B676" s="22">
        <v>153775</v>
      </c>
      <c r="C676" s="27" t="s">
        <v>76</v>
      </c>
      <c r="D676" s="25" t="s">
        <v>626</v>
      </c>
      <c r="E676" s="28"/>
    </row>
    <row r="677" spans="1:5" ht="17" x14ac:dyDescent="0.2">
      <c r="A677" s="50" t="s">
        <v>564</v>
      </c>
      <c r="B677" s="29">
        <v>2814138</v>
      </c>
      <c r="C677" s="27" t="s">
        <v>76</v>
      </c>
      <c r="D677" s="25" t="s">
        <v>627</v>
      </c>
      <c r="E677" s="28"/>
    </row>
    <row r="678" spans="1:5" ht="17" x14ac:dyDescent="0.2">
      <c r="A678" s="50" t="s">
        <v>564</v>
      </c>
      <c r="B678" s="29">
        <v>173210</v>
      </c>
      <c r="C678" s="27" t="s">
        <v>76</v>
      </c>
      <c r="D678" s="25" t="s">
        <v>628</v>
      </c>
      <c r="E678" s="28"/>
    </row>
    <row r="679" spans="1:5" ht="17" x14ac:dyDescent="0.2">
      <c r="A679" s="50" t="s">
        <v>564</v>
      </c>
      <c r="B679" s="29">
        <v>2861045</v>
      </c>
      <c r="C679" s="27" t="s">
        <v>76</v>
      </c>
      <c r="D679" s="25" t="s">
        <v>629</v>
      </c>
      <c r="E679" s="28"/>
    </row>
    <row r="680" spans="1:5" ht="17" x14ac:dyDescent="0.2">
      <c r="A680" s="50" t="s">
        <v>564</v>
      </c>
      <c r="B680" s="29">
        <v>2825411</v>
      </c>
      <c r="C680" s="27" t="s">
        <v>76</v>
      </c>
      <c r="D680" s="25" t="s">
        <v>630</v>
      </c>
      <c r="E680" s="28"/>
    </row>
    <row r="681" spans="1:5" ht="17" x14ac:dyDescent="0.2">
      <c r="A681" s="50" t="s">
        <v>564</v>
      </c>
      <c r="B681" s="29">
        <v>2860040</v>
      </c>
      <c r="C681" s="27" t="s">
        <v>76</v>
      </c>
      <c r="D681" s="25" t="s">
        <v>631</v>
      </c>
      <c r="E681" s="28"/>
    </row>
    <row r="682" spans="1:5" ht="17" x14ac:dyDescent="0.2">
      <c r="A682" s="50" t="s">
        <v>564</v>
      </c>
      <c r="B682" s="29">
        <v>2863046</v>
      </c>
      <c r="C682" s="27" t="s">
        <v>76</v>
      </c>
      <c r="D682" s="25" t="s">
        <v>632</v>
      </c>
      <c r="E682" s="28"/>
    </row>
    <row r="683" spans="1:5" ht="17" x14ac:dyDescent="0.2">
      <c r="A683" s="50" t="s">
        <v>564</v>
      </c>
      <c r="B683" s="29">
        <v>2856077</v>
      </c>
      <c r="C683" s="27" t="s">
        <v>76</v>
      </c>
      <c r="D683" s="25" t="s">
        <v>633</v>
      </c>
      <c r="E683" s="28"/>
    </row>
    <row r="684" spans="1:5" ht="17" x14ac:dyDescent="0.2">
      <c r="A684" s="50" t="s">
        <v>564</v>
      </c>
      <c r="B684" s="29">
        <v>173209</v>
      </c>
      <c r="C684" s="27" t="s">
        <v>76</v>
      </c>
      <c r="D684" s="25" t="s">
        <v>634</v>
      </c>
      <c r="E684" s="28"/>
    </row>
    <row r="685" spans="1:5" ht="17" x14ac:dyDescent="0.2">
      <c r="A685" s="50" t="s">
        <v>564</v>
      </c>
      <c r="B685" s="29">
        <v>162274</v>
      </c>
      <c r="C685" s="27" t="s">
        <v>76</v>
      </c>
      <c r="D685" s="25" t="s">
        <v>635</v>
      </c>
      <c r="E685" s="28"/>
    </row>
    <row r="686" spans="1:5" ht="17" x14ac:dyDescent="0.2">
      <c r="A686" s="50" t="s">
        <v>564</v>
      </c>
      <c r="B686" s="29">
        <v>614306</v>
      </c>
      <c r="C686" s="27" t="s">
        <v>76</v>
      </c>
      <c r="D686" s="25" t="s">
        <v>636</v>
      </c>
      <c r="E686" s="28"/>
    </row>
    <row r="687" spans="1:5" ht="17" x14ac:dyDescent="0.2">
      <c r="A687" s="50" t="s">
        <v>564</v>
      </c>
      <c r="B687" s="22">
        <v>667381</v>
      </c>
      <c r="C687" s="27" t="s">
        <v>76</v>
      </c>
      <c r="D687" s="25" t="s">
        <v>637</v>
      </c>
      <c r="E687" s="28"/>
    </row>
    <row r="688" spans="1:5" ht="17" x14ac:dyDescent="0.2">
      <c r="A688" s="50" t="s">
        <v>564</v>
      </c>
      <c r="B688" s="22">
        <v>503930</v>
      </c>
      <c r="C688" s="57" t="s">
        <v>76</v>
      </c>
      <c r="D688" s="25" t="s">
        <v>638</v>
      </c>
      <c r="E688" s="28"/>
    </row>
    <row r="689" spans="1:5" ht="17" x14ac:dyDescent="0.2">
      <c r="A689" s="50" t="s">
        <v>564</v>
      </c>
      <c r="B689" s="22">
        <v>777348</v>
      </c>
      <c r="C689" s="57" t="s">
        <v>76</v>
      </c>
      <c r="D689" s="48" t="s">
        <v>639</v>
      </c>
      <c r="E689" s="28"/>
    </row>
    <row r="690" spans="1:5" ht="17" x14ac:dyDescent="0.2">
      <c r="A690" s="50" t="s">
        <v>564</v>
      </c>
      <c r="B690" s="22">
        <v>5040395</v>
      </c>
      <c r="C690" s="27" t="s">
        <v>76</v>
      </c>
      <c r="D690" s="25" t="s">
        <v>640</v>
      </c>
      <c r="E690" s="28"/>
    </row>
    <row r="691" spans="1:5" ht="17" x14ac:dyDescent="0.2">
      <c r="A691" s="50" t="s">
        <v>564</v>
      </c>
      <c r="B691" s="22">
        <v>2813260</v>
      </c>
      <c r="C691" s="57" t="s">
        <v>76</v>
      </c>
      <c r="D691" s="25" t="s">
        <v>641</v>
      </c>
      <c r="E691" s="28"/>
    </row>
    <row r="692" spans="1:5" ht="17" x14ac:dyDescent="0.2">
      <c r="A692" s="50" t="s">
        <v>564</v>
      </c>
      <c r="B692" s="22">
        <v>786423</v>
      </c>
      <c r="C692" s="57" t="s">
        <v>76</v>
      </c>
      <c r="D692" s="25" t="s">
        <v>642</v>
      </c>
      <c r="E692" s="28"/>
    </row>
    <row r="693" spans="1:5" ht="17" x14ac:dyDescent="0.2">
      <c r="A693" s="50" t="s">
        <v>564</v>
      </c>
      <c r="B693" s="22">
        <v>2211317</v>
      </c>
      <c r="C693" s="57" t="s">
        <v>76</v>
      </c>
      <c r="D693" s="25" t="s">
        <v>643</v>
      </c>
      <c r="E693" s="28"/>
    </row>
    <row r="694" spans="1:5" ht="17" x14ac:dyDescent="0.2">
      <c r="A694" s="50" t="s">
        <v>564</v>
      </c>
      <c r="B694" s="22">
        <v>2211318</v>
      </c>
      <c r="C694" s="57" t="s">
        <v>76</v>
      </c>
      <c r="D694" s="25" t="s">
        <v>644</v>
      </c>
      <c r="E694" s="28"/>
    </row>
    <row r="695" spans="1:5" ht="17" x14ac:dyDescent="0.2">
      <c r="A695" s="50" t="s">
        <v>564</v>
      </c>
      <c r="B695" s="22">
        <v>2243053</v>
      </c>
      <c r="C695" s="57" t="s">
        <v>76</v>
      </c>
      <c r="D695" s="25" t="s">
        <v>645</v>
      </c>
      <c r="E695" s="28"/>
    </row>
    <row r="696" spans="1:5" ht="17" x14ac:dyDescent="0.2">
      <c r="A696" s="50" t="s">
        <v>564</v>
      </c>
      <c r="B696" s="22">
        <v>2243054</v>
      </c>
      <c r="C696" s="57" t="s">
        <v>76</v>
      </c>
      <c r="D696" s="25" t="s">
        <v>646</v>
      </c>
      <c r="E696" s="28"/>
    </row>
    <row r="697" spans="1:5" ht="17" x14ac:dyDescent="0.2">
      <c r="A697" s="50" t="s">
        <v>564</v>
      </c>
      <c r="B697" s="22">
        <v>2817027</v>
      </c>
      <c r="C697" s="57" t="s">
        <v>76</v>
      </c>
      <c r="D697" s="25" t="s">
        <v>647</v>
      </c>
      <c r="E697" s="28"/>
    </row>
    <row r="698" spans="1:5" ht="17" x14ac:dyDescent="0.2">
      <c r="A698" s="50" t="s">
        <v>564</v>
      </c>
      <c r="B698" s="22">
        <v>2819185</v>
      </c>
      <c r="C698" s="57" t="s">
        <v>76</v>
      </c>
      <c r="D698" s="25" t="s">
        <v>648</v>
      </c>
      <c r="E698" s="28"/>
    </row>
    <row r="699" spans="1:5" ht="17" x14ac:dyDescent="0.2">
      <c r="A699" s="50" t="s">
        <v>564</v>
      </c>
      <c r="B699" s="22">
        <v>2823043</v>
      </c>
      <c r="C699" s="57" t="s">
        <v>76</v>
      </c>
      <c r="D699" s="25" t="s">
        <v>649</v>
      </c>
      <c r="E699" s="28"/>
    </row>
    <row r="700" spans="1:5" ht="17" x14ac:dyDescent="0.2">
      <c r="A700" s="50" t="s">
        <v>564</v>
      </c>
      <c r="B700" s="22">
        <v>2823072</v>
      </c>
      <c r="C700" s="57" t="s">
        <v>76</v>
      </c>
      <c r="D700" s="25" t="s">
        <v>650</v>
      </c>
      <c r="E700" s="28"/>
    </row>
    <row r="701" spans="1:5" ht="17" x14ac:dyDescent="0.2">
      <c r="A701" s="50" t="s">
        <v>564</v>
      </c>
      <c r="B701" s="22">
        <v>2823097</v>
      </c>
      <c r="C701" s="57" t="s">
        <v>76</v>
      </c>
      <c r="D701" s="25" t="s">
        <v>651</v>
      </c>
      <c r="E701" s="28"/>
    </row>
    <row r="702" spans="1:5" ht="17" x14ac:dyDescent="0.2">
      <c r="A702" s="50" t="s">
        <v>564</v>
      </c>
      <c r="B702" s="22">
        <v>2823098</v>
      </c>
      <c r="C702" s="57" t="s">
        <v>76</v>
      </c>
      <c r="D702" s="25" t="s">
        <v>652</v>
      </c>
      <c r="E702" s="28"/>
    </row>
    <row r="703" spans="1:5" ht="17" x14ac:dyDescent="0.2">
      <c r="A703" s="50" t="s">
        <v>564</v>
      </c>
      <c r="B703" s="22">
        <v>5019812</v>
      </c>
      <c r="C703" s="57" t="s">
        <v>76</v>
      </c>
      <c r="D703" s="25" t="s">
        <v>653</v>
      </c>
      <c r="E703" s="28"/>
    </row>
    <row r="704" spans="1:5" ht="17" x14ac:dyDescent="0.2">
      <c r="A704" s="50" t="s">
        <v>564</v>
      </c>
      <c r="B704" s="22">
        <v>5019813</v>
      </c>
      <c r="C704" s="57" t="s">
        <v>76</v>
      </c>
      <c r="D704" s="25" t="s">
        <v>654</v>
      </c>
      <c r="E704" s="28"/>
    </row>
    <row r="705" spans="1:5" ht="17" x14ac:dyDescent="0.2">
      <c r="A705" s="50" t="s">
        <v>564</v>
      </c>
      <c r="B705" s="22">
        <v>2823564</v>
      </c>
      <c r="C705" s="57" t="s">
        <v>76</v>
      </c>
      <c r="D705" s="25" t="s">
        <v>655</v>
      </c>
      <c r="E705" s="28"/>
    </row>
    <row r="706" spans="1:5" ht="17" x14ac:dyDescent="0.2">
      <c r="A706" s="50" t="s">
        <v>564</v>
      </c>
      <c r="B706" s="22">
        <v>2817226</v>
      </c>
      <c r="C706" s="57" t="s">
        <v>76</v>
      </c>
      <c r="D706" s="25" t="s">
        <v>656</v>
      </c>
      <c r="E706" s="28"/>
    </row>
    <row r="707" spans="1:5" ht="17" x14ac:dyDescent="0.2">
      <c r="A707" s="50" t="s">
        <v>564</v>
      </c>
      <c r="B707" s="22">
        <v>2822461</v>
      </c>
      <c r="C707" s="57" t="s">
        <v>76</v>
      </c>
      <c r="D707" s="25" t="s">
        <v>657</v>
      </c>
      <c r="E707" s="28"/>
    </row>
    <row r="708" spans="1:5" ht="17" x14ac:dyDescent="0.2">
      <c r="A708" s="50" t="s">
        <v>564</v>
      </c>
      <c r="B708" s="22">
        <v>2828018</v>
      </c>
      <c r="C708" s="57" t="s">
        <v>76</v>
      </c>
      <c r="D708" s="25" t="s">
        <v>658</v>
      </c>
      <c r="E708" s="28"/>
    </row>
    <row r="709" spans="1:5" ht="17" x14ac:dyDescent="0.2">
      <c r="A709" s="50" t="s">
        <v>564</v>
      </c>
      <c r="B709" s="22">
        <v>2825746</v>
      </c>
      <c r="C709" s="27" t="s">
        <v>76</v>
      </c>
      <c r="D709" s="25" t="s">
        <v>659</v>
      </c>
      <c r="E709" s="28"/>
    </row>
    <row r="710" spans="1:5" ht="17" x14ac:dyDescent="0.2">
      <c r="A710" s="18" t="s">
        <v>660</v>
      </c>
      <c r="B710" s="19" t="s">
        <v>10</v>
      </c>
      <c r="C710" s="19" t="s">
        <v>11</v>
      </c>
      <c r="D710" s="21" t="s">
        <v>12</v>
      </c>
      <c r="E710" s="21" t="s">
        <v>13</v>
      </c>
    </row>
    <row r="711" spans="1:5" ht="17" x14ac:dyDescent="0.2">
      <c r="A711" s="26" t="s">
        <v>660</v>
      </c>
      <c r="B711" s="22">
        <v>573400</v>
      </c>
      <c r="C711" s="27" t="s">
        <v>14</v>
      </c>
      <c r="D711" s="25" t="str">
        <f>HYPERLINK("https://www.linkedin.com/learning/gamification-for-interactive-learning","Gamification for Interactive Learning")</f>
        <v>Gamification for Interactive Learning</v>
      </c>
      <c r="E711" s="48" t="s">
        <v>661</v>
      </c>
    </row>
    <row r="712" spans="1:5" ht="17" x14ac:dyDescent="0.2">
      <c r="A712" s="26" t="s">
        <v>660</v>
      </c>
      <c r="B712" s="22">
        <v>772321</v>
      </c>
      <c r="C712" s="27" t="s">
        <v>14</v>
      </c>
      <c r="D712" s="25" t="str">
        <f>HYPERLINK("https://www.linkedin.com/learning/applying-analytics-to-your-learning-program","Applying Analytics to Your Learning Program")</f>
        <v>Applying Analytics to Your Learning Program</v>
      </c>
      <c r="E712" s="62" t="str">
        <f>HYPERLINK("https://www.linkedin.com/learning/paths/become-a-user-experience-designer","Become a User Experience Designer")</f>
        <v>Become a User Experience Designer</v>
      </c>
    </row>
    <row r="713" spans="1:5" ht="17" x14ac:dyDescent="0.2">
      <c r="A713" s="26" t="s">
        <v>660</v>
      </c>
      <c r="B713" s="29">
        <v>5022325</v>
      </c>
      <c r="C713" s="30" t="s">
        <v>14</v>
      </c>
      <c r="D713" s="25" t="str">
        <f>HYPERLINK("https://www.linkedin.com/learning/leveraging-neuroscience-in-the-workplace/leveraging-your-brain-to-increase-strategic-speed","Leveraging Neuroscience in the Workplace")</f>
        <v>Leveraging Neuroscience in the Workplace</v>
      </c>
      <c r="E713" s="62" t="str">
        <f>HYPERLINK("https://www.linkedin.com/learning/paths/become-an-instructional-designer","Become an Instructional Designer")</f>
        <v>Become an Instructional Designer</v>
      </c>
    </row>
    <row r="714" spans="1:5" ht="17" x14ac:dyDescent="0.2">
      <c r="A714" s="26" t="s">
        <v>660</v>
      </c>
      <c r="B714" s="22">
        <v>2812133</v>
      </c>
      <c r="C714" s="27" t="s">
        <v>14</v>
      </c>
      <c r="D714" s="25" t="s">
        <v>662</v>
      </c>
      <c r="E714" s="62" t="str">
        <f>HYPERLINK("https://www.linkedin.com/learning/paths/become-an-instructional-developer","Become an Instructional Developer")</f>
        <v>Become an Instructional Developer</v>
      </c>
    </row>
    <row r="715" spans="1:5" ht="17" x14ac:dyDescent="0.2">
      <c r="A715" s="26" t="s">
        <v>660</v>
      </c>
      <c r="B715" s="22">
        <v>2825682</v>
      </c>
      <c r="C715" s="27" t="s">
        <v>14</v>
      </c>
      <c r="D715" s="25" t="s">
        <v>572</v>
      </c>
      <c r="E715" s="63" t="str">
        <f>HYPERLINK("https://www.linkedin.com/learning/paths/become-an-ld-professional","Become an L&amp;D Professional")</f>
        <v>Become an L&amp;D Professional</v>
      </c>
    </row>
    <row r="716" spans="1:5" ht="17" x14ac:dyDescent="0.2">
      <c r="A716" s="26" t="s">
        <v>660</v>
      </c>
      <c r="B716" s="22">
        <v>777390</v>
      </c>
      <c r="C716" s="27" t="s">
        <v>17</v>
      </c>
      <c r="D716" s="25" t="str">
        <f>HYPERLINK("https://www.linkedin.com/learning/corporate-instruction-foundations","Corporate Instruction Foundations")</f>
        <v>Corporate Instruction Foundations</v>
      </c>
      <c r="E716" s="62" t="str">
        <f>HYPERLINK("https://www.linkedin.com/learning/paths/become-an-online-instructor","Become an Online Instructor")</f>
        <v>Become an Online Instructor</v>
      </c>
    </row>
    <row r="717" spans="1:5" ht="17" x14ac:dyDescent="0.2">
      <c r="A717" s="26" t="s">
        <v>660</v>
      </c>
      <c r="B717" s="22">
        <v>156622</v>
      </c>
      <c r="C717" s="27" t="s">
        <v>17</v>
      </c>
      <c r="D717" s="25" t="str">
        <f>HYPERLINK("https://www.linkedin.com/learning/learning-management-systems-lms-quick-start","Learning Management Systems (LMS) Quick Start")</f>
        <v>Learning Management Systems (LMS) Quick Start</v>
      </c>
      <c r="E717" s="63" t="str">
        <f>HYPERLINK("https://www.linkedin.com/learning/paths/stay-competitive-using-design-thinking","Stay Competitive Using Design Thinking")</f>
        <v>Stay Competitive Using Design Thinking</v>
      </c>
    </row>
    <row r="718" spans="1:5" ht="17" x14ac:dyDescent="0.2">
      <c r="A718" s="26" t="s">
        <v>660</v>
      </c>
      <c r="B718" s="22">
        <v>144198</v>
      </c>
      <c r="C718" s="27" t="s">
        <v>17</v>
      </c>
      <c r="D718" s="25" t="str">
        <f>HYPERLINK("https://www.linkedin.com/learning/flipping-the-classroom","Flipping the Classroom")</f>
        <v>Flipping the Classroom</v>
      </c>
      <c r="E718" s="64" t="str">
        <f>HYPERLINK("https://www.linkedin.com/learning/paths/visual-communication-for-business-professionals","Visual Communication for Business Professionals")</f>
        <v>Visual Communication for Business Professionals</v>
      </c>
    </row>
    <row r="719" spans="1:5" ht="17" x14ac:dyDescent="0.2">
      <c r="A719" s="26" t="s">
        <v>660</v>
      </c>
      <c r="B719" s="22">
        <v>2807860</v>
      </c>
      <c r="C719" s="27" t="s">
        <v>17</v>
      </c>
      <c r="D719" s="25" t="s">
        <v>663</v>
      </c>
    </row>
    <row r="720" spans="1:5" ht="17" x14ac:dyDescent="0.2">
      <c r="A720" s="26" t="s">
        <v>660</v>
      </c>
      <c r="B720" s="22">
        <v>5035811</v>
      </c>
      <c r="C720" s="27" t="s">
        <v>17</v>
      </c>
      <c r="D720" s="25" t="s">
        <v>664</v>
      </c>
    </row>
    <row r="721" spans="1:5" ht="17" x14ac:dyDescent="0.2">
      <c r="A721" s="26" t="s">
        <v>660</v>
      </c>
      <c r="B721" s="22">
        <v>360035</v>
      </c>
      <c r="C721" s="27" t="s">
        <v>17</v>
      </c>
      <c r="D721" s="25" t="str">
        <f>HYPERLINK("https://www.linkedin.com/learning/teaching-with-technology","Teaching with Technology")</f>
        <v>Teaching with Technology</v>
      </c>
      <c r="E721" s="61"/>
    </row>
    <row r="722" spans="1:5" ht="17" x14ac:dyDescent="0.2">
      <c r="A722" s="26" t="s">
        <v>660</v>
      </c>
      <c r="B722" s="22">
        <v>380260</v>
      </c>
      <c r="C722" s="27" t="s">
        <v>17</v>
      </c>
      <c r="D722" s="25" t="str">
        <f>HYPERLINK("https://www.linkedin.com/learning/core-strategies-for-teaching-in-higher-ed","Core Strategies for Teaching in Higher Ed")</f>
        <v>Core Strategies for Teaching in Higher Ed</v>
      </c>
      <c r="E722" s="28"/>
    </row>
    <row r="723" spans="1:5" ht="17" x14ac:dyDescent="0.2">
      <c r="A723" s="26" t="s">
        <v>660</v>
      </c>
      <c r="B723" s="22">
        <v>473888</v>
      </c>
      <c r="C723" s="27" t="s">
        <v>17</v>
      </c>
      <c r="D723" s="25" t="str">
        <f>HYPERLINK("https://www.linkedin.com/learning/learning-to-write-a-syllabus","Learning to Write a Syllabus")</f>
        <v>Learning to Write a Syllabus</v>
      </c>
      <c r="E723" s="28"/>
    </row>
    <row r="724" spans="1:5" ht="17" x14ac:dyDescent="0.2">
      <c r="A724" s="26" t="s">
        <v>660</v>
      </c>
      <c r="B724" s="22">
        <v>765323</v>
      </c>
      <c r="C724" s="27" t="s">
        <v>17</v>
      </c>
      <c r="D724" s="25" t="str">
        <f>HYPERLINK("https://www.linkedin.com/learning/teaching-with-linkedin-learning","Teaching with LinkedIn Learning")</f>
        <v>Teaching with LinkedIn Learning</v>
      </c>
      <c r="E724" s="28"/>
    </row>
    <row r="725" spans="1:5" ht="17" x14ac:dyDescent="0.2">
      <c r="A725" s="26" t="s">
        <v>660</v>
      </c>
      <c r="B725" s="22">
        <v>415357</v>
      </c>
      <c r="C725" s="27" t="s">
        <v>17</v>
      </c>
      <c r="D725" s="25" t="str">
        <f>HYPERLINK("https://www.linkedin.com/learning/educational-technology-for-student-success","Educational Technology for Student Success")</f>
        <v>Educational Technology for Student Success</v>
      </c>
      <c r="E725" s="28"/>
    </row>
    <row r="726" spans="1:5" ht="17" x14ac:dyDescent="0.2">
      <c r="A726" s="26" t="s">
        <v>660</v>
      </c>
      <c r="B726" s="22">
        <v>782136</v>
      </c>
      <c r="C726" s="27" t="s">
        <v>17</v>
      </c>
      <c r="D726" s="25" t="str">
        <f>HYPERLINK("https://www.linkedin.com/learning/instructional-design-essentials-models-of-id-2/addie-evaluation-phase","Instructional Design Essentials: Models of ID")</f>
        <v>Instructional Design Essentials: Models of ID</v>
      </c>
      <c r="E726" s="28"/>
    </row>
    <row r="727" spans="1:5" ht="17" x14ac:dyDescent="0.2">
      <c r="A727" s="26" t="s">
        <v>660</v>
      </c>
      <c r="B727" s="22">
        <v>721895</v>
      </c>
      <c r="C727" s="27" t="s">
        <v>17</v>
      </c>
      <c r="D727" s="25" t="str">
        <f>HYPERLINK("https://www.linkedin.com/learning/foundations-of-corporate-training/introducing-a-culture-of-learning","Foundations of Corporate Training")</f>
        <v>Foundations of Corporate Training</v>
      </c>
      <c r="E727" s="28"/>
    </row>
    <row r="728" spans="1:5" ht="17" x14ac:dyDescent="0.2">
      <c r="A728" s="26" t="s">
        <v>660</v>
      </c>
      <c r="B728" s="22">
        <v>2212265</v>
      </c>
      <c r="C728" s="27" t="s">
        <v>17</v>
      </c>
      <c r="D728" s="25" t="s">
        <v>665</v>
      </c>
      <c r="E728" s="28"/>
    </row>
    <row r="729" spans="1:5" ht="17" x14ac:dyDescent="0.2">
      <c r="A729" s="26" t="s">
        <v>660</v>
      </c>
      <c r="B729" s="22">
        <v>2213242</v>
      </c>
      <c r="C729" s="27" t="s">
        <v>17</v>
      </c>
      <c r="D729" s="25" t="s">
        <v>357</v>
      </c>
      <c r="E729" s="28"/>
    </row>
    <row r="730" spans="1:5" ht="17" x14ac:dyDescent="0.2">
      <c r="A730" s="26" t="s">
        <v>660</v>
      </c>
      <c r="B730" s="22">
        <v>2804067</v>
      </c>
      <c r="C730" s="27" t="s">
        <v>17</v>
      </c>
      <c r="D730" s="52" t="str">
        <f>HYPERLINK("https://www.linkedin.com/learning/learning-impact-the-importance-of-storytelling","Training with Stories")</f>
        <v>Training with Stories</v>
      </c>
      <c r="E730" s="28"/>
    </row>
    <row r="731" spans="1:5" ht="17" x14ac:dyDescent="0.2">
      <c r="A731" s="26" t="s">
        <v>660</v>
      </c>
      <c r="B731" s="22">
        <v>2810627</v>
      </c>
      <c r="C731" s="27" t="s">
        <v>17</v>
      </c>
      <c r="D731" s="25" t="s">
        <v>666</v>
      </c>
      <c r="E731" s="28"/>
    </row>
    <row r="732" spans="1:5" ht="17" x14ac:dyDescent="0.2">
      <c r="A732" s="26" t="s">
        <v>660</v>
      </c>
      <c r="B732" s="22">
        <v>2811711</v>
      </c>
      <c r="C732" s="27" t="s">
        <v>17</v>
      </c>
      <c r="D732" s="25" t="s">
        <v>667</v>
      </c>
      <c r="E732" s="28"/>
    </row>
    <row r="733" spans="1:5" ht="17" x14ac:dyDescent="0.2">
      <c r="A733" s="26" t="s">
        <v>660</v>
      </c>
      <c r="B733" s="22">
        <v>2813284</v>
      </c>
      <c r="C733" s="27" t="s">
        <v>17</v>
      </c>
      <c r="D733" s="25" t="s">
        <v>668</v>
      </c>
      <c r="E733" s="28"/>
    </row>
    <row r="734" spans="1:5" ht="17" x14ac:dyDescent="0.2">
      <c r="A734" s="26" t="s">
        <v>660</v>
      </c>
      <c r="B734" s="22">
        <v>2814098</v>
      </c>
      <c r="C734" s="27" t="s">
        <v>17</v>
      </c>
      <c r="D734" s="25" t="s">
        <v>669</v>
      </c>
      <c r="E734" s="28"/>
    </row>
    <row r="735" spans="1:5" ht="17" x14ac:dyDescent="0.2">
      <c r="A735" s="26" t="s">
        <v>660</v>
      </c>
      <c r="B735" s="22">
        <v>2817188</v>
      </c>
      <c r="C735" s="27" t="s">
        <v>17</v>
      </c>
      <c r="D735" s="25" t="s">
        <v>670</v>
      </c>
      <c r="E735" s="28"/>
    </row>
    <row r="736" spans="1:5" ht="17" x14ac:dyDescent="0.2">
      <c r="A736" s="26" t="s">
        <v>660</v>
      </c>
      <c r="B736" s="22">
        <v>2818145</v>
      </c>
      <c r="C736" s="27" t="s">
        <v>17</v>
      </c>
      <c r="D736" s="25" t="s">
        <v>671</v>
      </c>
      <c r="E736" s="28"/>
    </row>
    <row r="737" spans="1:5" ht="17" x14ac:dyDescent="0.2">
      <c r="A737" s="26" t="s">
        <v>660</v>
      </c>
      <c r="B737" s="22">
        <v>2822593</v>
      </c>
      <c r="C737" s="27" t="s">
        <v>17</v>
      </c>
      <c r="D737" s="25" t="s">
        <v>672</v>
      </c>
      <c r="E737" s="28"/>
    </row>
    <row r="738" spans="1:5" ht="17" x14ac:dyDescent="0.2">
      <c r="A738" s="26" t="s">
        <v>660</v>
      </c>
      <c r="B738" s="22">
        <v>2823568</v>
      </c>
      <c r="C738" s="27" t="s">
        <v>17</v>
      </c>
      <c r="D738" s="25" t="s">
        <v>673</v>
      </c>
      <c r="E738" s="28"/>
    </row>
    <row r="739" spans="1:5" ht="17" x14ac:dyDescent="0.2">
      <c r="A739" s="26" t="s">
        <v>660</v>
      </c>
      <c r="B739" s="22">
        <v>2853001</v>
      </c>
      <c r="C739" s="27" t="s">
        <v>17</v>
      </c>
      <c r="D739" s="25" t="s">
        <v>674</v>
      </c>
      <c r="E739" s="28"/>
    </row>
    <row r="740" spans="1:5" ht="17" x14ac:dyDescent="0.2">
      <c r="A740" s="26" t="s">
        <v>660</v>
      </c>
      <c r="B740" s="22">
        <v>2864218</v>
      </c>
      <c r="C740" s="27" t="s">
        <v>17</v>
      </c>
      <c r="D740" s="25" t="s">
        <v>675</v>
      </c>
      <c r="E740" s="28"/>
    </row>
    <row r="741" spans="1:5" ht="17" x14ac:dyDescent="0.2">
      <c r="A741" s="26" t="s">
        <v>660</v>
      </c>
      <c r="B741" s="22">
        <v>2822030</v>
      </c>
      <c r="C741" s="27" t="s">
        <v>17</v>
      </c>
      <c r="D741" s="25" t="s">
        <v>69</v>
      </c>
      <c r="E741" s="28"/>
    </row>
    <row r="742" spans="1:5" ht="17" x14ac:dyDescent="0.2">
      <c r="A742" s="26" t="s">
        <v>660</v>
      </c>
      <c r="B742" s="22">
        <v>5035801</v>
      </c>
      <c r="C742" s="27" t="s">
        <v>70</v>
      </c>
      <c r="D742" s="25" t="s">
        <v>676</v>
      </c>
      <c r="E742" s="28"/>
    </row>
    <row r="743" spans="1:5" ht="17" x14ac:dyDescent="0.2">
      <c r="A743" s="26" t="s">
        <v>660</v>
      </c>
      <c r="B743" s="22">
        <v>5030976</v>
      </c>
      <c r="C743" s="27" t="s">
        <v>70</v>
      </c>
      <c r="D743" s="25" t="s">
        <v>463</v>
      </c>
      <c r="E743" s="28"/>
    </row>
    <row r="744" spans="1:5" ht="17" x14ac:dyDescent="0.2">
      <c r="A744" s="26" t="s">
        <v>660</v>
      </c>
      <c r="B744" s="22">
        <v>170069</v>
      </c>
      <c r="C744" s="30" t="s">
        <v>70</v>
      </c>
      <c r="D744" s="25" t="str">
        <f>HYPERLINK("https://www.linkedin.com/learning/instructional-design-needs-analysis/defining-learning-outcomes","Instructional Design: Needs Analysis")</f>
        <v>Instructional Design: Needs Analysis</v>
      </c>
      <c r="E744" s="28"/>
    </row>
    <row r="745" spans="1:5" ht="17" x14ac:dyDescent="0.2">
      <c r="A745" s="26" t="s">
        <v>660</v>
      </c>
      <c r="B745" s="22">
        <v>160064</v>
      </c>
      <c r="C745" s="30" t="s">
        <v>70</v>
      </c>
      <c r="D745" s="25" t="str">
        <f>HYPERLINK("https://www.linkedin.com/learning/instructional-design-storyboarding","Instructional Design: Storyboarding")</f>
        <v>Instructional Design: Storyboarding</v>
      </c>
      <c r="E745" s="28"/>
    </row>
    <row r="746" spans="1:5" ht="17" x14ac:dyDescent="0.2">
      <c r="A746" s="26" t="s">
        <v>660</v>
      </c>
      <c r="B746" s="22">
        <v>135367</v>
      </c>
      <c r="C746" s="30" t="s">
        <v>70</v>
      </c>
      <c r="D746" s="25" t="str">
        <f>HYPERLINK("https://www.linkedin.com/learning/blackboard-essential-training","Blackboard Essential Training")</f>
        <v>Blackboard Essential Training</v>
      </c>
      <c r="E746" s="28"/>
    </row>
    <row r="747" spans="1:5" ht="17" x14ac:dyDescent="0.2">
      <c r="A747" s="26" t="s">
        <v>660</v>
      </c>
      <c r="B747" s="22">
        <v>473889</v>
      </c>
      <c r="C747" s="30" t="s">
        <v>70</v>
      </c>
      <c r="D747" s="25" t="str">
        <f>HYPERLINK("https://www.linkedin.com/learning/learning-how-to-increase-learner-engagement","Learning How to Increase Learner Engagement")</f>
        <v>Learning How to Increase Learner Engagement</v>
      </c>
      <c r="E747" s="28"/>
    </row>
    <row r="748" spans="1:5" ht="17" x14ac:dyDescent="0.2">
      <c r="A748" s="26" t="s">
        <v>660</v>
      </c>
      <c r="B748" s="22">
        <v>2840016</v>
      </c>
      <c r="C748" s="27" t="s">
        <v>70</v>
      </c>
      <c r="D748" s="25" t="s">
        <v>460</v>
      </c>
      <c r="E748" s="28"/>
    </row>
    <row r="749" spans="1:5" ht="17" x14ac:dyDescent="0.2">
      <c r="A749" s="26" t="s">
        <v>660</v>
      </c>
      <c r="B749" s="22">
        <v>2242040</v>
      </c>
      <c r="C749" s="30" t="s">
        <v>84</v>
      </c>
      <c r="D749" s="25" t="s">
        <v>677</v>
      </c>
      <c r="E749" s="28"/>
    </row>
    <row r="750" spans="1:5" ht="17" x14ac:dyDescent="0.2">
      <c r="A750" s="26" t="s">
        <v>660</v>
      </c>
      <c r="B750" s="22">
        <v>2243044</v>
      </c>
      <c r="C750" s="30" t="s">
        <v>84</v>
      </c>
      <c r="D750" s="25" t="s">
        <v>678</v>
      </c>
      <c r="E750" s="28"/>
    </row>
    <row r="751" spans="1:5" ht="17" x14ac:dyDescent="0.2">
      <c r="A751" s="26" t="s">
        <v>660</v>
      </c>
      <c r="B751" s="22">
        <v>2825437</v>
      </c>
      <c r="C751" s="30" t="s">
        <v>84</v>
      </c>
      <c r="D751" s="25" t="s">
        <v>679</v>
      </c>
      <c r="E751" s="28"/>
    </row>
    <row r="752" spans="1:5" ht="17" x14ac:dyDescent="0.2">
      <c r="A752" s="26" t="s">
        <v>660</v>
      </c>
      <c r="B752" s="22">
        <v>2818050</v>
      </c>
      <c r="C752" s="30" t="s">
        <v>84</v>
      </c>
      <c r="D752" s="25" t="s">
        <v>680</v>
      </c>
      <c r="E752" s="28"/>
    </row>
    <row r="753" spans="1:5" ht="17" x14ac:dyDescent="0.2">
      <c r="A753" s="26" t="s">
        <v>660</v>
      </c>
      <c r="B753" s="22">
        <v>2800332</v>
      </c>
      <c r="C753" s="30" t="s">
        <v>84</v>
      </c>
      <c r="D753" s="25" t="s">
        <v>681</v>
      </c>
      <c r="E753" s="28"/>
    </row>
    <row r="754" spans="1:5" ht="17" x14ac:dyDescent="0.2">
      <c r="A754" s="26" t="s">
        <v>660</v>
      </c>
      <c r="B754" s="22">
        <v>2841399</v>
      </c>
      <c r="C754" s="27" t="s">
        <v>84</v>
      </c>
      <c r="D754" s="25" t="s">
        <v>476</v>
      </c>
      <c r="E754" s="28"/>
    </row>
    <row r="755" spans="1:5" ht="17" x14ac:dyDescent="0.2">
      <c r="A755" s="26" t="s">
        <v>660</v>
      </c>
      <c r="B755" s="29">
        <v>667377</v>
      </c>
      <c r="C755" s="30" t="s">
        <v>76</v>
      </c>
      <c r="D755" s="25" t="str">
        <f>HYPERLINK("https://www.linkedin.com/learning/articulate-360-interactive-learning/welcome","Articulate 360: Interactive Learning")</f>
        <v>Articulate 360: Interactive Learning</v>
      </c>
      <c r="E755" s="28"/>
    </row>
    <row r="756" spans="1:5" ht="17" x14ac:dyDescent="0.2">
      <c r="A756" s="26" t="s">
        <v>660</v>
      </c>
      <c r="B756" s="22">
        <v>560231</v>
      </c>
      <c r="C756" s="27" t="s">
        <v>76</v>
      </c>
      <c r="D756" s="25" t="str">
        <f>HYPERLINK("https://www.linkedin.com/learning/brain-based-elearning-design","Brain-Based Elearning Design")</f>
        <v>Brain-Based Elearning Design</v>
      </c>
      <c r="E756" s="28"/>
    </row>
    <row r="757" spans="1:5" ht="17" x14ac:dyDescent="0.2">
      <c r="A757" s="26" t="s">
        <v>660</v>
      </c>
      <c r="B757" s="22">
        <v>647671</v>
      </c>
      <c r="C757" s="27" t="s">
        <v>76</v>
      </c>
      <c r="D757" s="25" t="str">
        <f>HYPERLINK("https://www.linkedin.com/learning/gaining-internal-buy-in-for-elearning-training","Gaining Internal Buy-In for Elearning Training")</f>
        <v>Gaining Internal Buy-In for Elearning Training</v>
      </c>
      <c r="E757" s="28"/>
    </row>
    <row r="758" spans="1:5" ht="17" x14ac:dyDescent="0.2">
      <c r="A758" s="26" t="s">
        <v>660</v>
      </c>
      <c r="B758" s="22">
        <v>424004</v>
      </c>
      <c r="C758" s="27" t="s">
        <v>76</v>
      </c>
      <c r="D758" s="25" t="str">
        <f>HYPERLINK("https://www.linkedin.com/learning/teaching-techniques-blended-learning","Teaching Techniques: Blended Learning")</f>
        <v>Teaching Techniques: Blended Learning</v>
      </c>
      <c r="E758" s="28"/>
    </row>
    <row r="759" spans="1:5" ht="17" x14ac:dyDescent="0.2">
      <c r="A759" s="26" t="s">
        <v>660</v>
      </c>
      <c r="B759" s="22">
        <v>479804</v>
      </c>
      <c r="C759" s="27" t="s">
        <v>76</v>
      </c>
      <c r="D759" s="25" t="str">
        <f>HYPERLINK("https://www.linkedin.com/learning/teaching-technical-skills-through-video","Teaching Technical Skills Through Video")</f>
        <v>Teaching Technical Skills Through Video</v>
      </c>
      <c r="E759" s="28"/>
    </row>
    <row r="760" spans="1:5" ht="17" x14ac:dyDescent="0.2">
      <c r="A760" s="26" t="s">
        <v>660</v>
      </c>
      <c r="B760" s="22">
        <v>173755</v>
      </c>
      <c r="C760" s="27" t="s">
        <v>76</v>
      </c>
      <c r="D760" s="25" t="str">
        <f>HYPERLINK("https://www.linkedin.com/learning/teaching-techniques-data-driven-instruction","Teaching Techniques: Data-Driven Instruction")</f>
        <v>Teaching Techniques: Data-Driven Instruction</v>
      </c>
      <c r="E760" s="28"/>
    </row>
    <row r="761" spans="1:5" ht="17" x14ac:dyDescent="0.2">
      <c r="A761" s="26" t="s">
        <v>660</v>
      </c>
      <c r="B761" s="22">
        <v>141465</v>
      </c>
      <c r="C761" s="27" t="s">
        <v>76</v>
      </c>
      <c r="D761" s="25" t="str">
        <f>HYPERLINK("https://www.linkedin.com/learning/teacher-tips","Teacher Tips")</f>
        <v>Teacher Tips</v>
      </c>
      <c r="E761" s="28"/>
    </row>
    <row r="762" spans="1:5" ht="17" x14ac:dyDescent="0.2">
      <c r="A762" s="26" t="s">
        <v>660</v>
      </c>
      <c r="B762" s="22">
        <v>364351</v>
      </c>
      <c r="C762" s="27" t="s">
        <v>76</v>
      </c>
      <c r="D762" s="25" t="str">
        <f>HYPERLINK("https://www.linkedin.com/learning/teaching-techniques-project-based-learning","Teaching Techniques: Project-Based Learning")</f>
        <v>Teaching Techniques: Project-Based Learning</v>
      </c>
      <c r="E762" s="28"/>
    </row>
    <row r="763" spans="1:5" ht="17" x14ac:dyDescent="0.2">
      <c r="A763" s="26" t="s">
        <v>660</v>
      </c>
      <c r="B763" s="22">
        <v>360033</v>
      </c>
      <c r="C763" s="27" t="s">
        <v>76</v>
      </c>
      <c r="D763" s="25" t="str">
        <f>HYPERLINK("https://www.linkedin.com/learning/teaching-techniques-creating-multimedia-learning","Teaching Techniques: Creating Multimedia Learning")</f>
        <v>Teaching Techniques: Creating Multimedia Learning</v>
      </c>
      <c r="E763" s="28"/>
    </row>
    <row r="764" spans="1:5" ht="17" x14ac:dyDescent="0.2">
      <c r="A764" s="26" t="s">
        <v>660</v>
      </c>
      <c r="B764" s="22">
        <v>166841</v>
      </c>
      <c r="C764" s="27" t="s">
        <v>76</v>
      </c>
      <c r="D764" s="25" t="str">
        <f>HYPERLINK("https://www.linkedin.com/learning/teaching-techniques-classroom-management","Teaching Techniques: Classroom Management")</f>
        <v>Teaching Techniques: Classroom Management</v>
      </c>
      <c r="E764" s="28"/>
    </row>
    <row r="765" spans="1:5" ht="17" x14ac:dyDescent="0.2">
      <c r="A765" s="26" t="s">
        <v>660</v>
      </c>
      <c r="B765" s="22">
        <v>472427</v>
      </c>
      <c r="C765" s="27" t="s">
        <v>76</v>
      </c>
      <c r="D765" s="25" t="str">
        <f>HYPERLINK("https://www.linkedin.com/learning/powerpoint-for-teachers-creating-interactive-lessons","PowerPoint for Teachers: Creating Interactive Lessons")</f>
        <v>PowerPoint for Teachers: Creating Interactive Lessons</v>
      </c>
      <c r="E765" s="28"/>
    </row>
    <row r="766" spans="1:5" ht="17" x14ac:dyDescent="0.2">
      <c r="A766" s="26" t="s">
        <v>660</v>
      </c>
      <c r="B766" s="22">
        <v>452750</v>
      </c>
      <c r="C766" s="27" t="s">
        <v>76</v>
      </c>
      <c r="D766" s="25" t="str">
        <f>HYPERLINK("https://www.linkedin.com/learning/teaching-complex-topics","Teaching Complex Topics")</f>
        <v>Teaching Complex Topics</v>
      </c>
      <c r="E766" s="28"/>
    </row>
    <row r="767" spans="1:5" ht="17" x14ac:dyDescent="0.2">
      <c r="A767" s="26" t="s">
        <v>660</v>
      </c>
      <c r="B767" s="22">
        <v>502050</v>
      </c>
      <c r="C767" s="27" t="s">
        <v>76</v>
      </c>
      <c r="D767" s="25" t="str">
        <f>HYPERLINK("https://www.linkedin.com/learning/teaching-online-synchronous-classes","Teaching Online: Synchronous Classes")</f>
        <v>Teaching Online: Synchronous Classes</v>
      </c>
      <c r="E767" s="28"/>
    </row>
    <row r="768" spans="1:5" ht="17" x14ac:dyDescent="0.2">
      <c r="A768" s="26" t="s">
        <v>660</v>
      </c>
      <c r="B768" s="22">
        <v>530687</v>
      </c>
      <c r="C768" s="27" t="s">
        <v>76</v>
      </c>
      <c r="D768" s="25" t="str">
        <f>HYPERLINK("https://www.linkedin.com/learning/teaching-techniques-creating-effective-learning-assessments","Teaching Techniques: Creating Effective Learning Assessments")</f>
        <v>Teaching Techniques: Creating Effective Learning Assessments</v>
      </c>
      <c r="E768" s="28"/>
    </row>
    <row r="769" spans="1:5" ht="17" x14ac:dyDescent="0.2">
      <c r="A769" s="26" t="s">
        <v>660</v>
      </c>
      <c r="B769" s="22">
        <v>2823559</v>
      </c>
      <c r="C769" s="27" t="s">
        <v>76</v>
      </c>
      <c r="D769" s="25" t="s">
        <v>682</v>
      </c>
      <c r="E769" s="28"/>
    </row>
    <row r="770" spans="1:5" ht="17" x14ac:dyDescent="0.2">
      <c r="A770" s="26" t="s">
        <v>660</v>
      </c>
      <c r="B770" s="22">
        <v>2841547</v>
      </c>
      <c r="C770" s="27" t="s">
        <v>76</v>
      </c>
      <c r="D770" s="25" t="s">
        <v>477</v>
      </c>
      <c r="E770" s="28"/>
    </row>
    <row r="771" spans="1:5" ht="17" x14ac:dyDescent="0.2">
      <c r="A771" s="26" t="s">
        <v>660</v>
      </c>
      <c r="B771" s="22">
        <v>2841392</v>
      </c>
      <c r="C771" s="27" t="s">
        <v>76</v>
      </c>
      <c r="D771" s="25" t="s">
        <v>683</v>
      </c>
      <c r="E771" s="28"/>
    </row>
    <row r="772" spans="1:5" ht="17" x14ac:dyDescent="0.2">
      <c r="A772" s="26" t="s">
        <v>660</v>
      </c>
      <c r="B772" s="22">
        <v>461908</v>
      </c>
      <c r="C772" s="27" t="s">
        <v>76</v>
      </c>
      <c r="D772" s="25" t="str">
        <f>HYPERLINK("https://www.linkedin.com/learning/teaching-techniques-making-accessible-learning","Teaching Techniques: Making Accessible Learning")</f>
        <v>Teaching Techniques: Making Accessible Learning</v>
      </c>
      <c r="E772" s="28"/>
    </row>
    <row r="773" spans="1:5" ht="17" x14ac:dyDescent="0.2">
      <c r="A773" s="26" t="s">
        <v>660</v>
      </c>
      <c r="B773" s="22">
        <v>373783</v>
      </c>
      <c r="C773" s="27" t="s">
        <v>76</v>
      </c>
      <c r="D773" s="25" t="str">
        <f>HYPERLINK("https://www.linkedin.com/learning/teacher-tech-tips","Teacher Tech Tips")</f>
        <v>Teacher Tech Tips</v>
      </c>
      <c r="E773" s="28"/>
    </row>
    <row r="774" spans="1:5" ht="17" x14ac:dyDescent="0.2">
      <c r="A774" s="26" t="s">
        <v>660</v>
      </c>
      <c r="B774" s="22">
        <v>2809590</v>
      </c>
      <c r="C774" s="27" t="s">
        <v>76</v>
      </c>
      <c r="D774" s="25" t="s">
        <v>684</v>
      </c>
      <c r="E774" s="28"/>
    </row>
    <row r="775" spans="1:5" ht="17" x14ac:dyDescent="0.2">
      <c r="A775" s="26" t="s">
        <v>660</v>
      </c>
      <c r="B775" s="22">
        <v>2229236</v>
      </c>
      <c r="C775" s="27" t="s">
        <v>76</v>
      </c>
      <c r="D775" s="25" t="s">
        <v>685</v>
      </c>
      <c r="E775" s="28"/>
    </row>
    <row r="776" spans="1:5" ht="17" x14ac:dyDescent="0.2">
      <c r="A776" s="26" t="s">
        <v>660</v>
      </c>
      <c r="B776" s="22">
        <v>2820018</v>
      </c>
      <c r="C776" s="27" t="s">
        <v>76</v>
      </c>
      <c r="D776" s="25" t="s">
        <v>686</v>
      </c>
      <c r="E776" s="28"/>
    </row>
    <row r="777" spans="1:5" ht="17" x14ac:dyDescent="0.2">
      <c r="A777" s="26" t="s">
        <v>660</v>
      </c>
      <c r="B777" s="22">
        <v>2811351</v>
      </c>
      <c r="C777" s="27" t="s">
        <v>76</v>
      </c>
      <c r="D777" s="25" t="s">
        <v>687</v>
      </c>
      <c r="E777" s="28"/>
    </row>
    <row r="778" spans="1:5" ht="17" x14ac:dyDescent="0.2">
      <c r="A778" s="26" t="s">
        <v>660</v>
      </c>
      <c r="B778" s="22">
        <v>2822411</v>
      </c>
      <c r="C778" s="27" t="s">
        <v>76</v>
      </c>
      <c r="D778" s="25" t="s">
        <v>688</v>
      </c>
      <c r="E778" s="28"/>
    </row>
    <row r="779" spans="1:5" ht="17" x14ac:dyDescent="0.2">
      <c r="A779" s="26" t="s">
        <v>660</v>
      </c>
      <c r="B779" s="22">
        <v>2822428</v>
      </c>
      <c r="C779" s="27" t="s">
        <v>76</v>
      </c>
      <c r="D779" s="25" t="s">
        <v>689</v>
      </c>
      <c r="E779" s="28"/>
    </row>
    <row r="780" spans="1:5" ht="17" x14ac:dyDescent="0.2">
      <c r="A780" s="26" t="s">
        <v>660</v>
      </c>
      <c r="B780" s="22">
        <v>2825605</v>
      </c>
      <c r="C780" s="27" t="s">
        <v>76</v>
      </c>
      <c r="D780" s="25" t="s">
        <v>690</v>
      </c>
      <c r="E780" s="28"/>
    </row>
    <row r="781" spans="1:5" ht="17" x14ac:dyDescent="0.2">
      <c r="A781" s="26" t="s">
        <v>660</v>
      </c>
      <c r="B781" s="22">
        <v>2976142</v>
      </c>
      <c r="C781" s="27" t="s">
        <v>76</v>
      </c>
      <c r="D781" s="25" t="s">
        <v>691</v>
      </c>
      <c r="E781" s="28"/>
    </row>
    <row r="782" spans="1:5" ht="17" x14ac:dyDescent="0.2">
      <c r="A782" s="26" t="s">
        <v>660</v>
      </c>
      <c r="B782" s="22">
        <v>2825438</v>
      </c>
      <c r="C782" s="27" t="s">
        <v>76</v>
      </c>
      <c r="D782" s="25" t="s">
        <v>692</v>
      </c>
      <c r="E782" s="28"/>
    </row>
    <row r="783" spans="1:5" ht="17" x14ac:dyDescent="0.2">
      <c r="A783" s="26" t="s">
        <v>660</v>
      </c>
      <c r="B783" s="22">
        <v>2975172</v>
      </c>
      <c r="C783" s="27" t="s">
        <v>76</v>
      </c>
      <c r="D783" s="25" t="s">
        <v>693</v>
      </c>
      <c r="E783" s="28"/>
    </row>
    <row r="784" spans="1:5" ht="17" x14ac:dyDescent="0.2">
      <c r="A784" s="31" t="s">
        <v>694</v>
      </c>
      <c r="B784" s="19" t="s">
        <v>10</v>
      </c>
      <c r="C784" s="19" t="s">
        <v>11</v>
      </c>
      <c r="D784" s="21" t="s">
        <v>12</v>
      </c>
      <c r="E784" s="21" t="s">
        <v>13</v>
      </c>
    </row>
    <row r="785" spans="1:5" ht="17" x14ac:dyDescent="0.2">
      <c r="A785" s="31" t="s">
        <v>694</v>
      </c>
      <c r="B785" s="22">
        <v>664827</v>
      </c>
      <c r="C785" s="65" t="s">
        <v>14</v>
      </c>
      <c r="D785" s="66" t="str">
        <f>HYPERLINK("www.linkedin.com/learning/business-analytics-forecasting-with-exponential-smoothing","Business Analytics: Forecasting with Exponential Smoothing")</f>
        <v>Business Analytics: Forecasting with Exponential Smoothing</v>
      </c>
      <c r="E785" s="52" t="str">
        <f>HYPERLINK("https://www.linkedin.com/learning/paths/become-a-bookkeeper","Become a Bookkeeper")</f>
        <v>Become a Bookkeeper</v>
      </c>
    </row>
    <row r="786" spans="1:5" ht="17" x14ac:dyDescent="0.2">
      <c r="A786" s="31" t="s">
        <v>694</v>
      </c>
      <c r="B786" s="67">
        <v>728402</v>
      </c>
      <c r="C786" s="68" t="s">
        <v>14</v>
      </c>
      <c r="D786" s="69" t="str">
        <f>HYPERLINK("www.linkedin.com/learning/business-analytics-forecasting-with-seasonal-baseline-smoothing","Business Analytics: Forecasting with Seasonal Baseline Smoothing")</f>
        <v>Business Analytics: Forecasting with Seasonal Baseline Smoothing</v>
      </c>
      <c r="E786" s="52" t="str">
        <f>HYPERLINK("https://www.linkedin.com/learning/paths/become-a-corporate-financial-planning-analyst","Become a Corporate Financial Planning Analyst")</f>
        <v>Become a Corporate Financial Planning Analyst</v>
      </c>
    </row>
    <row r="787" spans="1:5" ht="17" x14ac:dyDescent="0.2">
      <c r="A787" s="31" t="s">
        <v>694</v>
      </c>
      <c r="B787" s="67">
        <v>728374</v>
      </c>
      <c r="C787" s="68" t="s">
        <v>14</v>
      </c>
      <c r="D787" s="69" t="str">
        <f>HYPERLINK("www.linkedin.com/learning/business-intelligence-for-consultants","Business Intelligence for Consultants")</f>
        <v>Business Intelligence for Consultants</v>
      </c>
      <c r="E787" s="52" t="s">
        <v>695</v>
      </c>
    </row>
    <row r="788" spans="1:5" ht="17" x14ac:dyDescent="0.2">
      <c r="A788" s="31" t="s">
        <v>694</v>
      </c>
      <c r="B788" s="67">
        <v>2823067</v>
      </c>
      <c r="C788" s="68" t="s">
        <v>14</v>
      </c>
      <c r="D788" s="69" t="s">
        <v>696</v>
      </c>
      <c r="E788" s="52" t="str">
        <f>HYPERLINK("https://www.linkedin.com/learning/paths/become-a-small-business-owner","Become a Small Business Owner")</f>
        <v>Become a Small Business Owner</v>
      </c>
    </row>
    <row r="789" spans="1:5" ht="17" x14ac:dyDescent="0.2">
      <c r="A789" s="31" t="s">
        <v>694</v>
      </c>
      <c r="B789" s="67">
        <v>2871251</v>
      </c>
      <c r="C789" s="70" t="s">
        <v>17</v>
      </c>
      <c r="D789" s="69" t="s">
        <v>697</v>
      </c>
      <c r="E789" s="52" t="str">
        <f>HYPERLINK("https://www.linkedin.com/learning/paths/become-an-accounts-payable-officer-2","Become an Accounts Payable Officer")</f>
        <v>Become an Accounts Payable Officer</v>
      </c>
    </row>
    <row r="790" spans="1:5" ht="17" x14ac:dyDescent="0.2">
      <c r="A790" s="31" t="s">
        <v>694</v>
      </c>
      <c r="B790" s="67">
        <v>2848324</v>
      </c>
      <c r="C790" s="70" t="s">
        <v>17</v>
      </c>
      <c r="D790" s="69" t="s">
        <v>698</v>
      </c>
      <c r="E790" s="52" t="s">
        <v>699</v>
      </c>
    </row>
    <row r="791" spans="1:5" ht="17" x14ac:dyDescent="0.2">
      <c r="A791" s="31" t="s">
        <v>694</v>
      </c>
      <c r="B791" s="67">
        <v>2849263</v>
      </c>
      <c r="C791" s="70" t="s">
        <v>17</v>
      </c>
      <c r="D791" s="69" t="s">
        <v>700</v>
      </c>
      <c r="E791" s="52" t="str">
        <f>HYPERLINK("https://www.linkedin.com/learning/paths/get-ahead-in-the-on-demand-gig-economy","Get Ahead in the On-Demand Gig Economy")</f>
        <v>Get Ahead in the On-Demand Gig Economy</v>
      </c>
    </row>
    <row r="792" spans="1:5" ht="17" x14ac:dyDescent="0.2">
      <c r="A792" s="31" t="s">
        <v>694</v>
      </c>
      <c r="B792" s="67">
        <v>777378</v>
      </c>
      <c r="C792" s="70" t="s">
        <v>17</v>
      </c>
      <c r="D792" s="69" t="s">
        <v>701</v>
      </c>
      <c r="E792" s="52" t="str">
        <f>HYPERLINK("https://www.linkedin.com/learning/paths/stay-ahead-in-personal-finance","Stay Ahead in Personal Finance")</f>
        <v>Stay Ahead in Personal Finance</v>
      </c>
    </row>
    <row r="793" spans="1:5" ht="17" x14ac:dyDescent="0.2">
      <c r="A793" s="31" t="s">
        <v>694</v>
      </c>
      <c r="B793" s="67">
        <v>779741</v>
      </c>
      <c r="C793" s="70" t="s">
        <v>17</v>
      </c>
      <c r="D793" s="69" t="s">
        <v>702</v>
      </c>
      <c r="E793" s="52"/>
    </row>
    <row r="794" spans="1:5" ht="17" x14ac:dyDescent="0.2">
      <c r="A794" s="31" t="s">
        <v>694</v>
      </c>
      <c r="B794" s="67">
        <v>779742</v>
      </c>
      <c r="C794" s="70" t="s">
        <v>17</v>
      </c>
      <c r="D794" s="69" t="s">
        <v>703</v>
      </c>
      <c r="E794" s="52"/>
    </row>
    <row r="795" spans="1:5" ht="17" x14ac:dyDescent="0.2">
      <c r="A795" s="31" t="s">
        <v>694</v>
      </c>
      <c r="B795" s="67">
        <v>699335</v>
      </c>
      <c r="C795" s="68" t="s">
        <v>17</v>
      </c>
      <c r="D795" s="71" t="s">
        <v>704</v>
      </c>
      <c r="E795" s="52"/>
    </row>
    <row r="796" spans="1:5" ht="17" x14ac:dyDescent="0.2">
      <c r="A796" s="31" t="s">
        <v>694</v>
      </c>
      <c r="B796" s="67">
        <v>786356</v>
      </c>
      <c r="C796" s="72" t="s">
        <v>17</v>
      </c>
      <c r="D796" s="71" t="s">
        <v>705</v>
      </c>
      <c r="E796" s="52"/>
    </row>
    <row r="797" spans="1:5" ht="17" x14ac:dyDescent="0.2">
      <c r="A797" s="31" t="s">
        <v>694</v>
      </c>
      <c r="B797" s="67">
        <v>777379</v>
      </c>
      <c r="C797" s="68" t="s">
        <v>17</v>
      </c>
      <c r="D797" s="71" t="s">
        <v>706</v>
      </c>
      <c r="E797" s="52"/>
    </row>
    <row r="798" spans="1:5" ht="17" x14ac:dyDescent="0.2">
      <c r="A798" s="31" t="s">
        <v>694</v>
      </c>
      <c r="B798" s="67">
        <v>779740</v>
      </c>
      <c r="C798" s="72" t="s">
        <v>17</v>
      </c>
      <c r="D798" s="71" t="s">
        <v>707</v>
      </c>
      <c r="E798" s="52"/>
    </row>
    <row r="799" spans="1:5" ht="17" x14ac:dyDescent="0.2">
      <c r="A799" s="31" t="s">
        <v>694</v>
      </c>
      <c r="B799" s="67">
        <v>383049</v>
      </c>
      <c r="C799" s="68" t="s">
        <v>17</v>
      </c>
      <c r="D799" s="71" t="s">
        <v>708</v>
      </c>
      <c r="E799" s="52"/>
    </row>
    <row r="800" spans="1:5" ht="17" x14ac:dyDescent="0.2">
      <c r="A800" s="31" t="s">
        <v>694</v>
      </c>
      <c r="B800" s="67">
        <v>174916</v>
      </c>
      <c r="C800" s="68" t="s">
        <v>17</v>
      </c>
      <c r="D800" s="71" t="s">
        <v>709</v>
      </c>
    </row>
    <row r="801" spans="1:5" ht="17" x14ac:dyDescent="0.2">
      <c r="A801" s="31" t="s">
        <v>694</v>
      </c>
      <c r="B801" s="67">
        <v>630613</v>
      </c>
      <c r="C801" s="72" t="s">
        <v>17</v>
      </c>
      <c r="D801" s="71" t="s">
        <v>710</v>
      </c>
      <c r="E801" s="52"/>
    </row>
    <row r="802" spans="1:5" ht="17" x14ac:dyDescent="0.2">
      <c r="A802" s="31" t="s">
        <v>694</v>
      </c>
      <c r="B802" s="67">
        <v>5038201</v>
      </c>
      <c r="C802" s="72" t="s">
        <v>17</v>
      </c>
      <c r="D802" s="71" t="s">
        <v>711</v>
      </c>
      <c r="E802" s="52"/>
    </row>
    <row r="803" spans="1:5" ht="17" x14ac:dyDescent="0.2">
      <c r="A803" s="31" t="s">
        <v>694</v>
      </c>
      <c r="B803" s="67">
        <v>5038202</v>
      </c>
      <c r="C803" s="72" t="s">
        <v>17</v>
      </c>
      <c r="D803" s="71" t="s">
        <v>712</v>
      </c>
      <c r="E803" s="52"/>
    </row>
    <row r="804" spans="1:5" ht="17" x14ac:dyDescent="0.2">
      <c r="A804" s="31" t="s">
        <v>694</v>
      </c>
      <c r="B804" s="67">
        <v>5043070</v>
      </c>
      <c r="C804" s="72" t="s">
        <v>17</v>
      </c>
      <c r="D804" s="71" t="s">
        <v>713</v>
      </c>
      <c r="E804" s="28"/>
    </row>
    <row r="805" spans="1:5" ht="17" x14ac:dyDescent="0.2">
      <c r="A805" s="31" t="s">
        <v>694</v>
      </c>
      <c r="B805" s="67">
        <v>5010645</v>
      </c>
      <c r="C805" s="72" t="s">
        <v>17</v>
      </c>
      <c r="D805" s="71" t="s">
        <v>714</v>
      </c>
      <c r="E805" s="28"/>
    </row>
    <row r="806" spans="1:5" ht="17" x14ac:dyDescent="0.2">
      <c r="A806" s="31" t="s">
        <v>694</v>
      </c>
      <c r="B806" s="67">
        <v>786351</v>
      </c>
      <c r="C806" s="68" t="s">
        <v>17</v>
      </c>
      <c r="D806" s="69" t="str">
        <f>HYPERLINK("www.linkedin.com/learning/quickbooks-pro-2019-essential-training","QuickBooks Pro 2019 Essential Training")</f>
        <v>QuickBooks Pro 2019 Essential Training</v>
      </c>
      <c r="E806" s="28"/>
    </row>
    <row r="807" spans="1:5" ht="17" x14ac:dyDescent="0.2">
      <c r="A807" s="31" t="s">
        <v>694</v>
      </c>
      <c r="B807" s="67">
        <v>2806199</v>
      </c>
      <c r="C807" s="68" t="s">
        <v>17</v>
      </c>
      <c r="D807" s="69" t="str">
        <f>HYPERLINK("https://www.linkedin.com/learning/accounting-for-managers","Accounting for Managers")</f>
        <v>Accounting for Managers</v>
      </c>
      <c r="E807" s="28"/>
    </row>
    <row r="808" spans="1:5" ht="17" x14ac:dyDescent="0.2">
      <c r="A808" s="26" t="s">
        <v>694</v>
      </c>
      <c r="B808" s="67">
        <v>5040386</v>
      </c>
      <c r="C808" s="68" t="s">
        <v>17</v>
      </c>
      <c r="D808" s="69" t="str">
        <f>HYPERLINK("https://www.linkedin.com/learning/how-to-analyze-a-wholesale-deal-in-real-estate","How to Analyze a Wholesale Deal in Real Estate")</f>
        <v>How to Analyze a Wholesale Deal in Real Estate</v>
      </c>
      <c r="E808" s="28"/>
    </row>
    <row r="809" spans="1:5" ht="17" x14ac:dyDescent="0.2">
      <c r="A809" s="26" t="s">
        <v>694</v>
      </c>
      <c r="B809" s="67">
        <v>599602</v>
      </c>
      <c r="C809" s="68" t="s">
        <v>17</v>
      </c>
      <c r="D809" s="69" t="str">
        <f>HYPERLINK("www.linkedin.com/learning/consulting-foundations","Consulting Foundations")</f>
        <v>Consulting Foundations</v>
      </c>
      <c r="E809" s="28"/>
    </row>
    <row r="810" spans="1:5" ht="17" x14ac:dyDescent="0.2">
      <c r="A810" s="31" t="s">
        <v>694</v>
      </c>
      <c r="B810" s="67">
        <v>713376</v>
      </c>
      <c r="C810" s="68" t="s">
        <v>17</v>
      </c>
      <c r="D810" s="69" t="str">
        <f>HYPERLINK("www.linkedin.com/learning/financial-accounting-part-2","Financial Accounting Part 2")</f>
        <v>Financial Accounting Part 2</v>
      </c>
      <c r="E810" s="28"/>
    </row>
    <row r="811" spans="1:5" ht="17" x14ac:dyDescent="0.2">
      <c r="A811" s="31" t="s">
        <v>694</v>
      </c>
      <c r="B811" s="67">
        <v>608996</v>
      </c>
      <c r="C811" s="68" t="s">
        <v>17</v>
      </c>
      <c r="D811" s="69" t="str">
        <f>HYPERLINK("https://www.linkedin.com/learning/finance-foundations-risk-management","Finance Foundations: Risk Management")</f>
        <v>Finance Foundations: Risk Management</v>
      </c>
      <c r="E811" s="28"/>
    </row>
    <row r="812" spans="1:5" ht="17" x14ac:dyDescent="0.2">
      <c r="A812" s="31" t="s">
        <v>694</v>
      </c>
      <c r="B812" s="67">
        <v>713377</v>
      </c>
      <c r="C812" s="68" t="s">
        <v>17</v>
      </c>
      <c r="D812" s="69" t="str">
        <f>HYPERLINK("www.linkedin.com/learning/financial-accounting-part-1","Financial Accounting Part 1")</f>
        <v>Financial Accounting Part 1</v>
      </c>
      <c r="E812" s="28"/>
    </row>
    <row r="813" spans="1:5" ht="17" x14ac:dyDescent="0.2">
      <c r="A813" s="31" t="s">
        <v>694</v>
      </c>
      <c r="B813" s="67">
        <v>718626</v>
      </c>
      <c r="C813" s="68" t="s">
        <v>17</v>
      </c>
      <c r="D813" s="69" t="str">
        <f>HYPERLINK("www.linkedin.com/learning/applying-agile-moscow-prioritization","Applying Agile MoSCoW Prioritization")</f>
        <v>Applying Agile MoSCoW Prioritization</v>
      </c>
      <c r="E813" s="28"/>
    </row>
    <row r="814" spans="1:5" ht="17" x14ac:dyDescent="0.2">
      <c r="A814" s="31" t="s">
        <v>694</v>
      </c>
      <c r="B814" s="67">
        <v>427473</v>
      </c>
      <c r="C814" s="68" t="s">
        <v>17</v>
      </c>
      <c r="D814" s="69" t="str">
        <f>HYPERLINK("www.linkedin.com/learning/statistics-foundations-1","Statistics Foundations: 1")</f>
        <v>Statistics Foundations: 1</v>
      </c>
      <c r="E814" s="28"/>
    </row>
    <row r="815" spans="1:5" ht="17" x14ac:dyDescent="0.2">
      <c r="A815" s="31" t="s">
        <v>694</v>
      </c>
      <c r="B815" s="67">
        <v>630615</v>
      </c>
      <c r="C815" s="68" t="s">
        <v>17</v>
      </c>
      <c r="D815" s="69" t="str">
        <f>HYPERLINK("www.linkedin.com/learning/picking-the-right-chart-for-your-data","Picking the Right Chart for Your Data")</f>
        <v>Picking the Right Chart for Your Data</v>
      </c>
      <c r="E815" s="28"/>
    </row>
    <row r="816" spans="1:5" ht="17" x14ac:dyDescent="0.2">
      <c r="A816" s="31" t="s">
        <v>694</v>
      </c>
      <c r="B816" s="67">
        <v>624309</v>
      </c>
      <c r="C816" s="68" t="s">
        <v>17</v>
      </c>
      <c r="D816" s="73" t="str">
        <f>HYPERLINK("https://www.linkedin.com/learning/learning-data-analytics-2/understanding-roles-in-data-analysis","Learning Data Analytics")</f>
        <v>Learning Data Analytics</v>
      </c>
      <c r="E816" s="28"/>
    </row>
    <row r="817" spans="1:5" ht="17" x14ac:dyDescent="0.2">
      <c r="A817" s="31" t="s">
        <v>694</v>
      </c>
      <c r="B817" s="67">
        <v>2800330</v>
      </c>
      <c r="C817" s="68" t="s">
        <v>17</v>
      </c>
      <c r="D817" s="69" t="s">
        <v>715</v>
      </c>
      <c r="E817" s="28"/>
    </row>
    <row r="818" spans="1:5" ht="17" x14ac:dyDescent="0.2">
      <c r="A818" s="31" t="s">
        <v>694</v>
      </c>
      <c r="B818" s="67">
        <v>2812490</v>
      </c>
      <c r="C818" s="68" t="s">
        <v>17</v>
      </c>
      <c r="D818" s="69" t="s">
        <v>716</v>
      </c>
      <c r="E818" s="28"/>
    </row>
    <row r="819" spans="1:5" ht="17" x14ac:dyDescent="0.2">
      <c r="A819" s="31" t="s">
        <v>694</v>
      </c>
      <c r="B819" s="67">
        <v>2815106</v>
      </c>
      <c r="C819" s="68" t="s">
        <v>17</v>
      </c>
      <c r="D819" s="69" t="s">
        <v>717</v>
      </c>
      <c r="E819" s="28"/>
    </row>
    <row r="820" spans="1:5" ht="17" x14ac:dyDescent="0.2">
      <c r="A820" s="31" t="s">
        <v>694</v>
      </c>
      <c r="B820" s="67">
        <v>5043068</v>
      </c>
      <c r="C820" s="68" t="s">
        <v>17</v>
      </c>
      <c r="D820" s="69" t="s">
        <v>718</v>
      </c>
      <c r="E820" s="28"/>
    </row>
    <row r="821" spans="1:5" ht="17" x14ac:dyDescent="0.2">
      <c r="A821" s="31" t="s">
        <v>694</v>
      </c>
      <c r="B821" s="67">
        <v>2863039</v>
      </c>
      <c r="C821" s="70" t="s">
        <v>70</v>
      </c>
      <c r="D821" s="69" t="s">
        <v>719</v>
      </c>
      <c r="E821" s="28"/>
    </row>
    <row r="822" spans="1:5" ht="17" x14ac:dyDescent="0.2">
      <c r="A822" s="31" t="s">
        <v>694</v>
      </c>
      <c r="B822" s="67">
        <v>173882</v>
      </c>
      <c r="C822" s="70" t="s">
        <v>70</v>
      </c>
      <c r="D822" s="69" t="s">
        <v>720</v>
      </c>
      <c r="E822" s="28"/>
    </row>
    <row r="823" spans="1:5" ht="17" x14ac:dyDescent="0.2">
      <c r="A823" s="31" t="s">
        <v>694</v>
      </c>
      <c r="B823" s="67">
        <v>2814131</v>
      </c>
      <c r="C823" s="68" t="s">
        <v>70</v>
      </c>
      <c r="D823" s="71" t="s">
        <v>721</v>
      </c>
      <c r="E823" s="28"/>
    </row>
    <row r="824" spans="1:5" ht="17" x14ac:dyDescent="0.2">
      <c r="A824" s="31" t="s">
        <v>694</v>
      </c>
      <c r="B824" s="67">
        <v>2815107</v>
      </c>
      <c r="C824" s="68" t="s">
        <v>70</v>
      </c>
      <c r="D824" s="71" t="s">
        <v>722</v>
      </c>
      <c r="E824" s="28"/>
    </row>
    <row r="825" spans="1:5" ht="17" x14ac:dyDescent="0.2">
      <c r="A825" s="31" t="s">
        <v>694</v>
      </c>
      <c r="B825" s="67">
        <v>2837224</v>
      </c>
      <c r="C825" s="68" t="s">
        <v>70</v>
      </c>
      <c r="D825" s="69" t="s">
        <v>723</v>
      </c>
      <c r="E825" s="28"/>
    </row>
    <row r="826" spans="1:5" ht="17" x14ac:dyDescent="0.2">
      <c r="A826" s="26" t="s">
        <v>694</v>
      </c>
      <c r="B826" s="67">
        <v>765313</v>
      </c>
      <c r="C826" s="70" t="s">
        <v>70</v>
      </c>
      <c r="D826" s="71" t="s">
        <v>724</v>
      </c>
      <c r="E826" s="28"/>
    </row>
    <row r="827" spans="1:5" ht="17" x14ac:dyDescent="0.2">
      <c r="A827" s="26" t="s">
        <v>694</v>
      </c>
      <c r="B827" s="67">
        <v>565365</v>
      </c>
      <c r="C827" s="70" t="s">
        <v>70</v>
      </c>
      <c r="D827" s="74" t="str">
        <f>HYPERLINK("https://www.linkedin.com/learning/finance-and-accounting-tips","Finance and Accounting Tips")</f>
        <v>Finance and Accounting Tips</v>
      </c>
      <c r="E827" s="28"/>
    </row>
    <row r="828" spans="1:5" ht="17" x14ac:dyDescent="0.2">
      <c r="A828" s="26" t="s">
        <v>694</v>
      </c>
      <c r="B828" s="67">
        <v>5005044</v>
      </c>
      <c r="C828" s="70" t="s">
        <v>70</v>
      </c>
      <c r="D828" s="71" t="s">
        <v>725</v>
      </c>
      <c r="E828" s="28"/>
    </row>
    <row r="829" spans="1:5" ht="17" x14ac:dyDescent="0.2">
      <c r="A829" s="26" t="s">
        <v>694</v>
      </c>
      <c r="B829" s="67">
        <v>5043069</v>
      </c>
      <c r="C829" s="70" t="s">
        <v>70</v>
      </c>
      <c r="D829" s="71" t="s">
        <v>726</v>
      </c>
      <c r="E829" s="21"/>
    </row>
    <row r="830" spans="1:5" ht="17" x14ac:dyDescent="0.2">
      <c r="A830" s="26" t="s">
        <v>694</v>
      </c>
      <c r="B830" s="67">
        <v>639059</v>
      </c>
      <c r="C830" s="70" t="s">
        <v>70</v>
      </c>
      <c r="D830" s="71" t="s">
        <v>727</v>
      </c>
      <c r="E830" s="21"/>
    </row>
    <row r="831" spans="1:5" ht="17" x14ac:dyDescent="0.2">
      <c r="A831" s="26" t="s">
        <v>694</v>
      </c>
      <c r="B831" s="67">
        <v>2975162</v>
      </c>
      <c r="C831" s="70" t="s">
        <v>84</v>
      </c>
      <c r="D831" s="69" t="s">
        <v>728</v>
      </c>
      <c r="E831" s="21"/>
    </row>
    <row r="832" spans="1:5" ht="17" x14ac:dyDescent="0.2">
      <c r="A832" s="26" t="s">
        <v>694</v>
      </c>
      <c r="B832" s="67">
        <v>786357</v>
      </c>
      <c r="C832" s="70" t="s">
        <v>84</v>
      </c>
      <c r="D832" s="71" t="s">
        <v>729</v>
      </c>
      <c r="E832" s="21"/>
    </row>
    <row r="833" spans="1:5" ht="17" x14ac:dyDescent="0.2">
      <c r="A833" s="26" t="s">
        <v>694</v>
      </c>
      <c r="B833" s="67">
        <v>2823320</v>
      </c>
      <c r="C833" s="70" t="s">
        <v>84</v>
      </c>
      <c r="D833" s="69" t="s">
        <v>730</v>
      </c>
      <c r="E833" s="21"/>
    </row>
    <row r="834" spans="1:5" ht="17" x14ac:dyDescent="0.2">
      <c r="A834" s="26" t="s">
        <v>694</v>
      </c>
      <c r="B834" s="67">
        <v>2823389</v>
      </c>
      <c r="C834" s="70" t="s">
        <v>84</v>
      </c>
      <c r="D834" s="69" t="s">
        <v>731</v>
      </c>
      <c r="E834" s="21"/>
    </row>
    <row r="835" spans="1:5" ht="17" x14ac:dyDescent="0.2">
      <c r="A835" s="26" t="s">
        <v>694</v>
      </c>
      <c r="B835" s="67">
        <v>2825616</v>
      </c>
      <c r="C835" s="70" t="s">
        <v>76</v>
      </c>
      <c r="D835" s="69" t="s">
        <v>732</v>
      </c>
      <c r="E835" s="21"/>
    </row>
    <row r="836" spans="1:5" ht="17" x14ac:dyDescent="0.2">
      <c r="A836" s="26" t="s">
        <v>694</v>
      </c>
      <c r="B836" s="67">
        <v>2852000</v>
      </c>
      <c r="C836" s="70" t="s">
        <v>76</v>
      </c>
      <c r="D836" s="69" t="s">
        <v>733</v>
      </c>
      <c r="E836" s="21"/>
    </row>
    <row r="837" spans="1:5" ht="17" x14ac:dyDescent="0.2">
      <c r="A837" s="26" t="s">
        <v>694</v>
      </c>
      <c r="B837" s="67">
        <v>2974327</v>
      </c>
      <c r="C837" s="68" t="s">
        <v>76</v>
      </c>
      <c r="D837" s="71" t="s">
        <v>734</v>
      </c>
      <c r="E837" s="21"/>
    </row>
    <row r="838" spans="1:5" ht="17" x14ac:dyDescent="0.2">
      <c r="A838" s="26" t="s">
        <v>694</v>
      </c>
      <c r="B838" s="67">
        <v>368916</v>
      </c>
      <c r="C838" s="72" t="s">
        <v>76</v>
      </c>
      <c r="D838" s="71" t="s">
        <v>735</v>
      </c>
      <c r="E838" s="21"/>
    </row>
    <row r="839" spans="1:5" ht="17" x14ac:dyDescent="0.2">
      <c r="A839" s="26" t="s">
        <v>694</v>
      </c>
      <c r="B839" s="67">
        <v>368915</v>
      </c>
      <c r="C839" s="68" t="s">
        <v>76</v>
      </c>
      <c r="D839" s="71" t="s">
        <v>736</v>
      </c>
      <c r="E839" s="21"/>
    </row>
    <row r="840" spans="1:5" ht="17" x14ac:dyDescent="0.2">
      <c r="A840" s="26" t="s">
        <v>694</v>
      </c>
      <c r="B840" s="67">
        <v>173210</v>
      </c>
      <c r="C840" s="68" t="s">
        <v>76</v>
      </c>
      <c r="D840" s="71" t="s">
        <v>628</v>
      </c>
      <c r="E840" s="21"/>
    </row>
    <row r="841" spans="1:5" ht="17" x14ac:dyDescent="0.2">
      <c r="A841" s="26" t="s">
        <v>694</v>
      </c>
      <c r="B841" s="67">
        <v>173209</v>
      </c>
      <c r="C841" s="68" t="s">
        <v>76</v>
      </c>
      <c r="D841" s="71" t="s">
        <v>634</v>
      </c>
      <c r="E841" s="21"/>
    </row>
    <row r="842" spans="1:5" ht="17" x14ac:dyDescent="0.2">
      <c r="A842" s="26" t="s">
        <v>694</v>
      </c>
      <c r="B842" s="67">
        <v>162272</v>
      </c>
      <c r="C842" s="68" t="s">
        <v>76</v>
      </c>
      <c r="D842" s="71" t="s">
        <v>737</v>
      </c>
      <c r="E842" s="21"/>
    </row>
    <row r="843" spans="1:5" ht="17" x14ac:dyDescent="0.2">
      <c r="A843" s="26" t="s">
        <v>694</v>
      </c>
      <c r="B843" s="67">
        <v>162274</v>
      </c>
      <c r="C843" s="68" t="s">
        <v>76</v>
      </c>
      <c r="D843" s="71" t="s">
        <v>635</v>
      </c>
      <c r="E843" s="21"/>
    </row>
    <row r="844" spans="1:5" ht="17" x14ac:dyDescent="0.2">
      <c r="A844" s="26" t="s">
        <v>694</v>
      </c>
      <c r="B844" s="67">
        <v>569337</v>
      </c>
      <c r="C844" s="68" t="s">
        <v>76</v>
      </c>
      <c r="D844" s="71" t="s">
        <v>738</v>
      </c>
      <c r="E844" s="21"/>
    </row>
    <row r="845" spans="1:5" ht="17" x14ac:dyDescent="0.2">
      <c r="A845" s="26" t="s">
        <v>694</v>
      </c>
      <c r="B845" s="67">
        <v>608997</v>
      </c>
      <c r="C845" s="68" t="s">
        <v>76</v>
      </c>
      <c r="D845" s="71" t="s">
        <v>739</v>
      </c>
      <c r="E845" s="21"/>
    </row>
    <row r="846" spans="1:5" ht="17" x14ac:dyDescent="0.2">
      <c r="A846" s="26" t="s">
        <v>694</v>
      </c>
      <c r="B846" s="67">
        <v>696865</v>
      </c>
      <c r="C846" s="68" t="s">
        <v>76</v>
      </c>
      <c r="D846" s="71" t="s">
        <v>740</v>
      </c>
      <c r="E846" s="21"/>
    </row>
    <row r="847" spans="1:5" ht="17" x14ac:dyDescent="0.2">
      <c r="A847" s="26" t="s">
        <v>694</v>
      </c>
      <c r="B847" s="67">
        <v>188212</v>
      </c>
      <c r="C847" s="68" t="s">
        <v>76</v>
      </c>
      <c r="D847" s="71" t="s">
        <v>741</v>
      </c>
      <c r="E847" s="21"/>
    </row>
    <row r="848" spans="1:5" ht="17" x14ac:dyDescent="0.2">
      <c r="A848" s="26" t="s">
        <v>694</v>
      </c>
      <c r="B848" s="67">
        <v>2804051</v>
      </c>
      <c r="C848" s="68" t="s">
        <v>76</v>
      </c>
      <c r="D848" s="71" t="str">
        <f>HYPERLINK("https://www.linkedin.com/learning/sap-accounts-payable-boot-camp","SAP Accounts Payable Boot Camp")</f>
        <v>SAP Accounts Payable Boot Camp</v>
      </c>
      <c r="E848" s="21"/>
    </row>
    <row r="849" spans="1:5" ht="17" x14ac:dyDescent="0.2">
      <c r="A849" s="26" t="s">
        <v>694</v>
      </c>
      <c r="B849" s="67">
        <v>569336</v>
      </c>
      <c r="C849" s="68" t="s">
        <v>76</v>
      </c>
      <c r="D849" s="69" t="str">
        <f>HYPERLINK("www.linkedin.com/learning/excel-economic-analysis-and-data-analytics","Excel: Economic Analysis and Data Analytics")</f>
        <v>Excel: Economic Analysis and Data Analytics</v>
      </c>
      <c r="E849" s="21"/>
    </row>
    <row r="850" spans="1:5" ht="17" x14ac:dyDescent="0.2">
      <c r="A850" s="26" t="s">
        <v>694</v>
      </c>
      <c r="B850" s="67">
        <v>188211</v>
      </c>
      <c r="C850" s="68" t="s">
        <v>76</v>
      </c>
      <c r="D850" s="69" t="str">
        <f>HYPERLINK("www.linkedin.com/learning/finance-essentials-for-small-business","Finance Essentials for Small Business")</f>
        <v>Finance Essentials for Small Business</v>
      </c>
      <c r="E850" s="21"/>
    </row>
    <row r="851" spans="1:5" ht="17" x14ac:dyDescent="0.2">
      <c r="A851" s="26" t="s">
        <v>694</v>
      </c>
      <c r="B851" s="67">
        <v>599601</v>
      </c>
      <c r="C851" s="68" t="s">
        <v>76</v>
      </c>
      <c r="D851" s="69" t="str">
        <f>HYPERLINK("www.linkedin.com/learning/contracting-for-consultants","Contracting for Consultants")</f>
        <v>Contracting for Consultants</v>
      </c>
      <c r="E851" s="21"/>
    </row>
    <row r="852" spans="1:5" ht="17" x14ac:dyDescent="0.2">
      <c r="A852" s="26" t="s">
        <v>694</v>
      </c>
      <c r="B852" s="67">
        <v>697709</v>
      </c>
      <c r="C852" s="68" t="s">
        <v>76</v>
      </c>
      <c r="D852" s="69" t="str">
        <f>HYPERLINK("www.linkedin.com/learning/financial-modeling-foundations","Financial Modeling Foundations")</f>
        <v>Financial Modeling Foundations</v>
      </c>
      <c r="E852" s="21"/>
    </row>
    <row r="853" spans="1:5" ht="17" x14ac:dyDescent="0.2">
      <c r="A853" s="26" t="s">
        <v>694</v>
      </c>
      <c r="B853" s="67">
        <v>746307</v>
      </c>
      <c r="C853" s="68" t="s">
        <v>76</v>
      </c>
      <c r="D853" s="69" t="str">
        <f>HYPERLINK("www.linkedin.com/learning/consulting-foundations-client-management-and-relationships","Consulting Foundations: Client Management and Relationships")</f>
        <v>Consulting Foundations: Client Management and Relationships</v>
      </c>
      <c r="E853" s="21"/>
    </row>
    <row r="854" spans="1:5" ht="17" x14ac:dyDescent="0.2">
      <c r="A854" s="26" t="s">
        <v>694</v>
      </c>
      <c r="B854" s="67">
        <v>758618</v>
      </c>
      <c r="C854" s="68" t="s">
        <v>76</v>
      </c>
      <c r="D854" s="69" t="str">
        <f>HYPERLINK("www.linkedin.com/learning/critical-roles-consultants-play-and-the-skills-you-need-to-fill-them","Critical Roles Consultants Play (and the Skills You Need to Fill Them)")</f>
        <v>Critical Roles Consultants Play (and the Skills You Need to Fill Them)</v>
      </c>
      <c r="E854" s="21"/>
    </row>
    <row r="855" spans="1:5" ht="17" x14ac:dyDescent="0.2">
      <c r="A855" s="26" t="s">
        <v>694</v>
      </c>
      <c r="B855" s="67">
        <v>765310</v>
      </c>
      <c r="C855" s="68" t="s">
        <v>76</v>
      </c>
      <c r="D855" s="69" t="str">
        <f>HYPERLINK("www.linkedin.com/learning/focusing-on-the-bottom-line-as-an-employee","Focusing on the Bottom Line as an Employee")</f>
        <v>Focusing on the Bottom Line as an Employee</v>
      </c>
      <c r="E855" s="21"/>
    </row>
    <row r="856" spans="1:5" ht="17" x14ac:dyDescent="0.2">
      <c r="A856" s="26" t="s">
        <v>694</v>
      </c>
      <c r="B856" s="67">
        <v>784276</v>
      </c>
      <c r="C856" s="68" t="s">
        <v>76</v>
      </c>
      <c r="D856" s="69" t="str">
        <f>HYPERLINK("www.linkedin.com/learning/excel-for-investment-professionals","Excel for Investment Professionals")</f>
        <v>Excel for Investment Professionals</v>
      </c>
      <c r="E856" s="21"/>
    </row>
    <row r="857" spans="1:5" ht="17" x14ac:dyDescent="0.2">
      <c r="A857" s="26" t="s">
        <v>694</v>
      </c>
      <c r="B857" s="67">
        <v>504663</v>
      </c>
      <c r="C857" s="68" t="s">
        <v>76</v>
      </c>
      <c r="D857" s="69" t="str">
        <f>HYPERLINK("https://www.linkedin.com/learning/excel-2016-financial-functions-in-depth","Excel 2016: Financial Functions in Depth")</f>
        <v>Excel 2016: Financial Functions in Depth</v>
      </c>
      <c r="E857" s="21"/>
    </row>
    <row r="858" spans="1:5" ht="17" x14ac:dyDescent="0.2">
      <c r="A858" s="26" t="s">
        <v>694</v>
      </c>
      <c r="B858" s="67">
        <v>697706</v>
      </c>
      <c r="C858" s="68" t="s">
        <v>76</v>
      </c>
      <c r="D858" s="69" t="str">
        <f>HYPERLINK("https://www.linkedin.com/learning/excel-for-corporate-finance-professionals","Excel for Corporate Finance Professionals")</f>
        <v>Excel for Corporate Finance Professionals</v>
      </c>
      <c r="E858" s="21"/>
    </row>
    <row r="859" spans="1:5" ht="17" x14ac:dyDescent="0.2">
      <c r="A859" s="26" t="s">
        <v>694</v>
      </c>
      <c r="B859" s="67">
        <v>5015860</v>
      </c>
      <c r="C859" s="68" t="s">
        <v>76</v>
      </c>
      <c r="D859" s="69" t="str">
        <f>HYPERLINK("https://www.linkedin.com/learning/corporate-finance-robust-financial-modeling","Corporate Finance: Robust Financial Modeling")</f>
        <v>Corporate Finance: Robust Financial Modeling</v>
      </c>
      <c r="E859" s="21"/>
    </row>
    <row r="860" spans="1:5" ht="17" x14ac:dyDescent="0.2">
      <c r="A860" s="26" t="s">
        <v>694</v>
      </c>
      <c r="B860" s="67">
        <v>699323</v>
      </c>
      <c r="C860" s="68" t="s">
        <v>76</v>
      </c>
      <c r="D860" s="69" t="str">
        <f>HYPERLINK("www.linkedin.com/learning/information-management-document-security","Information Management: Document Security")</f>
        <v>Information Management: Document Security</v>
      </c>
      <c r="E860" s="21"/>
    </row>
    <row r="861" spans="1:5" ht="17" x14ac:dyDescent="0.2">
      <c r="A861" s="26" t="s">
        <v>694</v>
      </c>
      <c r="B861" s="67">
        <v>699343</v>
      </c>
      <c r="C861" s="68" t="s">
        <v>76</v>
      </c>
      <c r="D861" s="69" t="str">
        <f>HYPERLINK("www.linkedin.com/learning/increasing-engagement-with-elearning-programs","Increasing Engagement with Elearning Programs")</f>
        <v>Increasing Engagement with Elearning Programs</v>
      </c>
      <c r="E861" s="21"/>
    </row>
    <row r="862" spans="1:5" ht="17" x14ac:dyDescent="0.2">
      <c r="A862" s="26" t="s">
        <v>694</v>
      </c>
      <c r="B862" s="67">
        <v>761929</v>
      </c>
      <c r="C862" s="68" t="s">
        <v>76</v>
      </c>
      <c r="D862" s="69" t="str">
        <f>HYPERLINK("www.linkedin.com/learning/agile-foundations","Agile Foundations")</f>
        <v>Agile Foundations</v>
      </c>
      <c r="E862" s="21"/>
    </row>
    <row r="863" spans="1:5" ht="17" x14ac:dyDescent="0.2">
      <c r="A863" s="26" t="s">
        <v>694</v>
      </c>
      <c r="B863" s="67">
        <v>777380</v>
      </c>
      <c r="C863" s="68" t="s">
        <v>76</v>
      </c>
      <c r="D863" s="69" t="str">
        <f>HYPERLINK("www.linkedin.com/learning/managing-international-projects-2","Project Management: International Projects")</f>
        <v>Project Management: International Projects</v>
      </c>
      <c r="E863" s="21"/>
    </row>
    <row r="864" spans="1:5" ht="17" x14ac:dyDescent="0.2">
      <c r="A864" s="26" t="s">
        <v>694</v>
      </c>
      <c r="B864" s="67">
        <v>495322</v>
      </c>
      <c r="C864" s="68" t="s">
        <v>76</v>
      </c>
      <c r="D864" s="69" t="str">
        <f>HYPERLINK("www.linkedin.com/learning/statistics-foundations-2","Statistics Foundations: 2")</f>
        <v>Statistics Foundations: 2</v>
      </c>
      <c r="E864" s="21"/>
    </row>
    <row r="865" spans="1:5" ht="17" x14ac:dyDescent="0.2">
      <c r="A865" s="26" t="s">
        <v>694</v>
      </c>
      <c r="B865" s="67">
        <v>609019</v>
      </c>
      <c r="C865" s="68" t="s">
        <v>76</v>
      </c>
      <c r="D865" s="69" t="str">
        <f>HYPERLINK("www.linkedin.com/learning/data-analytics-for-business-professionals","Data Analytics for Business Professionals")</f>
        <v>Data Analytics for Business Professionals</v>
      </c>
      <c r="E865" s="21"/>
    </row>
    <row r="866" spans="1:5" ht="17" x14ac:dyDescent="0.2">
      <c r="A866" s="26" t="s">
        <v>694</v>
      </c>
      <c r="B866" s="67">
        <v>622076</v>
      </c>
      <c r="C866" s="68" t="s">
        <v>76</v>
      </c>
      <c r="D866" s="69" t="str">
        <f>HYPERLINK("www.linkedin.com/learning/algorithmic-trading-and-stocks-essential-training","Algorithmic Trading and Stocks Essential Training")</f>
        <v>Algorithmic Trading and Stocks Essential Training</v>
      </c>
      <c r="E866" s="21"/>
    </row>
    <row r="867" spans="1:5" ht="17" x14ac:dyDescent="0.2">
      <c r="A867" s="26" t="s">
        <v>694</v>
      </c>
      <c r="B867" s="67">
        <v>622077</v>
      </c>
      <c r="C867" s="68" t="s">
        <v>76</v>
      </c>
      <c r="D867" s="69" t="str">
        <f>HYPERLINK("www.linkedin.com/learning/data-analytics-for-pricing-analysts-in-excel","Data Analytics for Pricing Analysts in Excel")</f>
        <v>Data Analytics for Pricing Analysts in Excel</v>
      </c>
      <c r="E867" s="21"/>
    </row>
    <row r="868" spans="1:5" ht="17" x14ac:dyDescent="0.2">
      <c r="A868" s="26" t="s">
        <v>694</v>
      </c>
      <c r="B868" s="67">
        <v>672260</v>
      </c>
      <c r="C868" s="68" t="s">
        <v>76</v>
      </c>
      <c r="D868" s="69" t="str">
        <f>HYPERLINK("www.linkedin.com/learning/sql-for-statistics-essential-training","SQL for Statistics Essential Training")</f>
        <v>SQL for Statistics Essential Training</v>
      </c>
      <c r="E868" s="21"/>
    </row>
    <row r="869" spans="1:5" ht="17" x14ac:dyDescent="0.2">
      <c r="A869" s="26" t="s">
        <v>694</v>
      </c>
      <c r="B869" s="67">
        <v>2805906</v>
      </c>
      <c r="C869" s="68" t="s">
        <v>76</v>
      </c>
      <c r="D869" s="69" t="s">
        <v>742</v>
      </c>
      <c r="E869" s="21"/>
    </row>
    <row r="870" spans="1:5" ht="17" x14ac:dyDescent="0.2">
      <c r="A870" s="26" t="s">
        <v>694</v>
      </c>
      <c r="B870" s="67">
        <v>2815054</v>
      </c>
      <c r="C870" s="68" t="s">
        <v>76</v>
      </c>
      <c r="D870" s="69" t="s">
        <v>743</v>
      </c>
      <c r="E870" s="21"/>
    </row>
    <row r="871" spans="1:5" ht="17" x14ac:dyDescent="0.2">
      <c r="A871" s="26" t="s">
        <v>694</v>
      </c>
      <c r="B871" s="67">
        <v>2823100</v>
      </c>
      <c r="C871" s="68" t="s">
        <v>76</v>
      </c>
      <c r="D871" s="69" t="s">
        <v>744</v>
      </c>
      <c r="E871" s="21"/>
    </row>
    <row r="872" spans="1:5" ht="17" x14ac:dyDescent="0.2">
      <c r="A872" s="26" t="s">
        <v>694</v>
      </c>
      <c r="B872" s="67">
        <v>2825033</v>
      </c>
      <c r="C872" s="68" t="s">
        <v>76</v>
      </c>
      <c r="D872" s="69" t="s">
        <v>745</v>
      </c>
      <c r="E872" s="21"/>
    </row>
    <row r="873" spans="1:5" ht="17" x14ac:dyDescent="0.2">
      <c r="A873" s="26" t="s">
        <v>694</v>
      </c>
      <c r="B873" s="67">
        <v>2805121</v>
      </c>
      <c r="C873" s="68" t="s">
        <v>76</v>
      </c>
      <c r="D873" s="69" t="s">
        <v>746</v>
      </c>
      <c r="E873" s="21"/>
    </row>
    <row r="874" spans="1:5" ht="17" x14ac:dyDescent="0.2">
      <c r="A874" s="26" t="s">
        <v>694</v>
      </c>
      <c r="B874" s="67">
        <v>5019813</v>
      </c>
      <c r="C874" s="68" t="s">
        <v>76</v>
      </c>
      <c r="D874" s="69" t="s">
        <v>654</v>
      </c>
      <c r="E874" s="21"/>
    </row>
    <row r="875" spans="1:5" ht="17" x14ac:dyDescent="0.2">
      <c r="A875" s="26" t="s">
        <v>694</v>
      </c>
      <c r="B875" s="67">
        <v>2823136</v>
      </c>
      <c r="C875" s="68" t="s">
        <v>76</v>
      </c>
      <c r="D875" s="69" t="s">
        <v>747</v>
      </c>
      <c r="E875" s="21"/>
    </row>
    <row r="876" spans="1:5" ht="17" x14ac:dyDescent="0.2">
      <c r="A876" s="50" t="s">
        <v>748</v>
      </c>
      <c r="B876" s="19" t="s">
        <v>10</v>
      </c>
      <c r="C876" s="19" t="s">
        <v>11</v>
      </c>
      <c r="D876" s="21" t="s">
        <v>12</v>
      </c>
      <c r="E876" s="21" t="s">
        <v>13</v>
      </c>
    </row>
    <row r="877" spans="1:5" ht="17" x14ac:dyDescent="0.2">
      <c r="A877" s="50" t="s">
        <v>748</v>
      </c>
      <c r="B877" s="22">
        <v>570964</v>
      </c>
      <c r="C877" s="27" t="s">
        <v>14</v>
      </c>
      <c r="D877" s="25" t="s">
        <v>749</v>
      </c>
      <c r="E877" s="25" t="str">
        <f>HYPERLINK("https://www.linkedin.com/learning/paths/become-a-corporate-recruiter","Become a Corporate Recruiter")</f>
        <v>Become a Corporate Recruiter</v>
      </c>
    </row>
    <row r="878" spans="1:5" ht="17" x14ac:dyDescent="0.2">
      <c r="A878" s="50" t="s">
        <v>748</v>
      </c>
      <c r="B878" s="22">
        <v>548771</v>
      </c>
      <c r="C878" s="27" t="s">
        <v>14</v>
      </c>
      <c r="D878" s="25" t="s">
        <v>750</v>
      </c>
      <c r="E878" s="25" t="str">
        <f>HYPERLINK("https://www.linkedin.com/learning/paths/become-a-technical-recruiter","Become a Technical Recruiter")</f>
        <v>Become a Technical Recruiter</v>
      </c>
    </row>
    <row r="879" spans="1:5" ht="17" x14ac:dyDescent="0.2">
      <c r="A879" s="50" t="s">
        <v>748</v>
      </c>
      <c r="B879" s="22">
        <v>659275</v>
      </c>
      <c r="C879" s="27" t="s">
        <v>14</v>
      </c>
      <c r="D879" s="25" t="s">
        <v>751</v>
      </c>
      <c r="E879" s="25" t="str">
        <f>HYPERLINK("https://www.linkedin.com/learning/paths/become-an-external-recruiter","Become an External Recruiter")</f>
        <v>Become an External Recruiter</v>
      </c>
    </row>
    <row r="880" spans="1:5" ht="17" x14ac:dyDescent="0.2">
      <c r="A880" s="50" t="s">
        <v>748</v>
      </c>
      <c r="B880" s="22">
        <v>651190</v>
      </c>
      <c r="C880" s="27" t="s">
        <v>14</v>
      </c>
      <c r="D880" s="25" t="s">
        <v>752</v>
      </c>
      <c r="E880" s="25" t="str">
        <f>HYPERLINK("https://www.linkedin.com/learning/paths/become-an-hr-business-partner","Become an HR Business Partner")</f>
        <v>Become an HR Business Partner</v>
      </c>
    </row>
    <row r="881" spans="1:5" ht="17" x14ac:dyDescent="0.2">
      <c r="A881" s="50" t="s">
        <v>748</v>
      </c>
      <c r="B881" s="22">
        <v>639058</v>
      </c>
      <c r="C881" s="27" t="s">
        <v>14</v>
      </c>
      <c r="D881" s="25" t="s">
        <v>753</v>
      </c>
      <c r="E881" s="25" t="s">
        <v>754</v>
      </c>
    </row>
    <row r="882" spans="1:5" ht="17" x14ac:dyDescent="0.2">
      <c r="A882" s="50" t="s">
        <v>748</v>
      </c>
      <c r="B882" s="22">
        <v>669536</v>
      </c>
      <c r="C882" s="27" t="s">
        <v>14</v>
      </c>
      <c r="D882" s="25" t="s">
        <v>755</v>
      </c>
      <c r="E882" s="48" t="s">
        <v>756</v>
      </c>
    </row>
    <row r="883" spans="1:5" ht="17" x14ac:dyDescent="0.2">
      <c r="A883" s="50" t="s">
        <v>748</v>
      </c>
      <c r="B883" s="22">
        <v>639057</v>
      </c>
      <c r="C883" s="27" t="s">
        <v>14</v>
      </c>
      <c r="D883" s="34" t="s">
        <v>757</v>
      </c>
      <c r="E883" s="25" t="str">
        <f>HYPERLINK("https://www.linkedin.com/learning/paths/finding-and-retaining-talent","Finding and Retaining Talent")</f>
        <v>Finding and Retaining Talent</v>
      </c>
    </row>
    <row r="884" spans="1:5" ht="17" x14ac:dyDescent="0.2">
      <c r="A884" s="50" t="s">
        <v>748</v>
      </c>
      <c r="B884" s="22">
        <v>5022330</v>
      </c>
      <c r="C884" s="23" t="s">
        <v>14</v>
      </c>
      <c r="D884" s="25" t="s">
        <v>758</v>
      </c>
    </row>
    <row r="885" spans="1:5" ht="17" x14ac:dyDescent="0.2">
      <c r="A885" s="50" t="s">
        <v>748</v>
      </c>
      <c r="B885" s="22">
        <v>688515</v>
      </c>
      <c r="C885" s="23" t="s">
        <v>14</v>
      </c>
      <c r="D885" s="25" t="s">
        <v>759</v>
      </c>
    </row>
    <row r="886" spans="1:5" ht="17" x14ac:dyDescent="0.2">
      <c r="A886" s="50" t="s">
        <v>748</v>
      </c>
      <c r="B886" s="22">
        <v>2812133</v>
      </c>
      <c r="C886" s="27" t="s">
        <v>14</v>
      </c>
      <c r="D886" s="25" t="s">
        <v>662</v>
      </c>
      <c r="E886" s="28"/>
    </row>
    <row r="887" spans="1:5" ht="17" x14ac:dyDescent="0.2">
      <c r="A887" s="50" t="s">
        <v>748</v>
      </c>
      <c r="B887" s="22">
        <v>2820164</v>
      </c>
      <c r="C887" s="27" t="s">
        <v>14</v>
      </c>
      <c r="D887" s="25" t="s">
        <v>760</v>
      </c>
      <c r="E887" s="28"/>
    </row>
    <row r="888" spans="1:5" ht="17" x14ac:dyDescent="0.2">
      <c r="A888" s="50" t="s">
        <v>748</v>
      </c>
      <c r="B888" s="22">
        <v>2975163</v>
      </c>
      <c r="C888" s="27" t="s">
        <v>14</v>
      </c>
      <c r="D888" s="25" t="s">
        <v>246</v>
      </c>
      <c r="E888" s="28"/>
    </row>
    <row r="889" spans="1:5" ht="17" x14ac:dyDescent="0.2">
      <c r="A889" s="50" t="s">
        <v>748</v>
      </c>
      <c r="B889" s="22">
        <v>2822467</v>
      </c>
      <c r="C889" s="27" t="s">
        <v>14</v>
      </c>
      <c r="D889" s="25" t="s">
        <v>761</v>
      </c>
      <c r="E889" s="28"/>
    </row>
    <row r="890" spans="1:5" ht="17" x14ac:dyDescent="0.2">
      <c r="A890" s="50" t="s">
        <v>748</v>
      </c>
      <c r="B890" s="22">
        <v>2851002</v>
      </c>
      <c r="C890" s="27" t="s">
        <v>14</v>
      </c>
      <c r="D890" s="25" t="s">
        <v>489</v>
      </c>
      <c r="E890" s="28"/>
    </row>
    <row r="891" spans="1:5" ht="17" x14ac:dyDescent="0.2">
      <c r="A891" s="50" t="s">
        <v>748</v>
      </c>
      <c r="B891" s="22">
        <v>802827</v>
      </c>
      <c r="C891" s="23" t="s">
        <v>17</v>
      </c>
      <c r="D891" s="25" t="s">
        <v>762</v>
      </c>
      <c r="E891" s="28"/>
    </row>
    <row r="892" spans="1:5" ht="17" x14ac:dyDescent="0.2">
      <c r="A892" s="50" t="s">
        <v>748</v>
      </c>
      <c r="B892" s="22">
        <v>572890</v>
      </c>
      <c r="C892" s="23" t="s">
        <v>17</v>
      </c>
      <c r="D892" s="25" t="s">
        <v>763</v>
      </c>
      <c r="E892" s="28"/>
    </row>
    <row r="893" spans="1:5" ht="17" x14ac:dyDescent="0.2">
      <c r="A893" s="50" t="s">
        <v>748</v>
      </c>
      <c r="B893" s="22">
        <v>191268</v>
      </c>
      <c r="C893" s="23" t="s">
        <v>17</v>
      </c>
      <c r="D893" s="25" t="s">
        <v>764</v>
      </c>
      <c r="E893" s="28"/>
    </row>
    <row r="894" spans="1:5" ht="17" x14ac:dyDescent="0.2">
      <c r="A894" s="26" t="s">
        <v>748</v>
      </c>
      <c r="B894" s="22">
        <v>721920</v>
      </c>
      <c r="C894" s="23" t="s">
        <v>17</v>
      </c>
      <c r="D894" s="25" t="s">
        <v>765</v>
      </c>
      <c r="E894" s="28"/>
    </row>
    <row r="895" spans="1:5" ht="17" x14ac:dyDescent="0.2">
      <c r="A895" s="26" t="s">
        <v>748</v>
      </c>
      <c r="B895" s="22">
        <v>656782</v>
      </c>
      <c r="C895" s="23" t="s">
        <v>17</v>
      </c>
      <c r="D895" s="25" t="s">
        <v>766</v>
      </c>
      <c r="E895" s="28"/>
    </row>
    <row r="896" spans="1:5" ht="17" x14ac:dyDescent="0.2">
      <c r="A896" s="26" t="s">
        <v>748</v>
      </c>
      <c r="B896" s="22">
        <v>794118</v>
      </c>
      <c r="C896" s="23" t="s">
        <v>17</v>
      </c>
      <c r="D896" s="25" t="s">
        <v>767</v>
      </c>
      <c r="E896" s="28"/>
    </row>
    <row r="897" spans="1:5" ht="17" x14ac:dyDescent="0.2">
      <c r="A897" s="50" t="s">
        <v>748</v>
      </c>
      <c r="B897" s="22">
        <v>2805907</v>
      </c>
      <c r="C897" s="27" t="s">
        <v>17</v>
      </c>
      <c r="D897" s="25" t="s">
        <v>259</v>
      </c>
      <c r="E897" s="28"/>
    </row>
    <row r="898" spans="1:5" ht="17" x14ac:dyDescent="0.2">
      <c r="A898" s="50" t="s">
        <v>748</v>
      </c>
      <c r="B898" s="22">
        <v>2813256</v>
      </c>
      <c r="C898" s="27" t="s">
        <v>17</v>
      </c>
      <c r="D898" s="25" t="s">
        <v>768</v>
      </c>
      <c r="E898" s="28"/>
    </row>
    <row r="899" spans="1:5" ht="17" x14ac:dyDescent="0.2">
      <c r="A899" s="50" t="s">
        <v>748</v>
      </c>
      <c r="B899" s="22">
        <v>2819029</v>
      </c>
      <c r="C899" s="27" t="s">
        <v>17</v>
      </c>
      <c r="D899" s="25" t="s">
        <v>769</v>
      </c>
      <c r="E899" s="28"/>
    </row>
    <row r="900" spans="1:5" ht="17" x14ac:dyDescent="0.2">
      <c r="A900" s="50" t="s">
        <v>748</v>
      </c>
      <c r="B900" s="22">
        <v>2823248</v>
      </c>
      <c r="C900" s="27" t="s">
        <v>17</v>
      </c>
      <c r="D900" s="48" t="s">
        <v>770</v>
      </c>
      <c r="E900" s="28"/>
    </row>
    <row r="901" spans="1:5" ht="17" x14ac:dyDescent="0.2">
      <c r="A901" s="50" t="s">
        <v>748</v>
      </c>
      <c r="B901" s="22">
        <v>5005050</v>
      </c>
      <c r="C901" s="27" t="s">
        <v>17</v>
      </c>
      <c r="D901" s="25" t="s">
        <v>771</v>
      </c>
      <c r="E901" s="28"/>
    </row>
    <row r="902" spans="1:5" ht="17" x14ac:dyDescent="0.2">
      <c r="A902" s="50" t="s">
        <v>748</v>
      </c>
      <c r="B902" s="22">
        <v>2823138</v>
      </c>
      <c r="C902" s="27" t="s">
        <v>17</v>
      </c>
      <c r="D902" s="25" t="s">
        <v>772</v>
      </c>
      <c r="E902" s="28"/>
    </row>
    <row r="903" spans="1:5" ht="17" x14ac:dyDescent="0.2">
      <c r="A903" s="50" t="s">
        <v>748</v>
      </c>
      <c r="B903" s="22">
        <v>2824268</v>
      </c>
      <c r="C903" s="27" t="s">
        <v>17</v>
      </c>
      <c r="D903" s="25" t="s">
        <v>773</v>
      </c>
      <c r="E903" s="28"/>
    </row>
    <row r="904" spans="1:5" ht="17" x14ac:dyDescent="0.2">
      <c r="A904" s="50" t="s">
        <v>748</v>
      </c>
      <c r="B904" s="22">
        <v>2825494</v>
      </c>
      <c r="C904" s="27" t="s">
        <v>17</v>
      </c>
      <c r="D904" s="25" t="s">
        <v>161</v>
      </c>
      <c r="E904" s="28"/>
    </row>
    <row r="905" spans="1:5" ht="17" x14ac:dyDescent="0.2">
      <c r="A905" s="50" t="s">
        <v>748</v>
      </c>
      <c r="B905" s="22">
        <v>2841554</v>
      </c>
      <c r="C905" s="27" t="s">
        <v>17</v>
      </c>
      <c r="D905" s="25" t="s">
        <v>774</v>
      </c>
      <c r="E905" s="28"/>
    </row>
    <row r="906" spans="1:5" ht="17" x14ac:dyDescent="0.2">
      <c r="A906" s="50" t="s">
        <v>748</v>
      </c>
      <c r="B906" s="22">
        <v>5034159</v>
      </c>
      <c r="C906" s="27" t="s">
        <v>70</v>
      </c>
      <c r="D906" s="25" t="s">
        <v>163</v>
      </c>
      <c r="E906" s="28"/>
    </row>
    <row r="907" spans="1:5" ht="17" x14ac:dyDescent="0.2">
      <c r="A907" s="50" t="s">
        <v>748</v>
      </c>
      <c r="B907" s="22">
        <v>5034182</v>
      </c>
      <c r="C907" s="27" t="s">
        <v>70</v>
      </c>
      <c r="D907" s="25" t="s">
        <v>775</v>
      </c>
      <c r="E907" s="28"/>
    </row>
    <row r="908" spans="1:5" ht="17" x14ac:dyDescent="0.2">
      <c r="A908" s="50" t="s">
        <v>748</v>
      </c>
      <c r="B908" s="22">
        <v>2823250</v>
      </c>
      <c r="C908" s="27" t="s">
        <v>70</v>
      </c>
      <c r="D908" s="48" t="s">
        <v>776</v>
      </c>
      <c r="E908" s="28"/>
    </row>
    <row r="909" spans="1:5" ht="17" x14ac:dyDescent="0.2">
      <c r="A909" s="50" t="s">
        <v>748</v>
      </c>
      <c r="B909" s="22">
        <v>724786</v>
      </c>
      <c r="C909" s="51" t="s">
        <v>70</v>
      </c>
      <c r="D909" s="25" t="s">
        <v>777</v>
      </c>
      <c r="E909" s="28"/>
    </row>
    <row r="910" spans="1:5" ht="17" x14ac:dyDescent="0.2">
      <c r="A910" s="50" t="s">
        <v>748</v>
      </c>
      <c r="B910" s="22">
        <v>704123</v>
      </c>
      <c r="C910" s="51" t="s">
        <v>70</v>
      </c>
      <c r="D910" s="25" t="s">
        <v>778</v>
      </c>
      <c r="E910" s="28"/>
    </row>
    <row r="911" spans="1:5" ht="17" x14ac:dyDescent="0.2">
      <c r="A911" s="50" t="s">
        <v>748</v>
      </c>
      <c r="B911" s="22">
        <v>664803</v>
      </c>
      <c r="C911" s="30" t="s">
        <v>70</v>
      </c>
      <c r="D911" s="25" t="s">
        <v>779</v>
      </c>
      <c r="E911" s="28"/>
    </row>
    <row r="912" spans="1:5" ht="17" x14ac:dyDescent="0.2">
      <c r="A912" s="50" t="s">
        <v>748</v>
      </c>
      <c r="B912" s="22">
        <v>452091</v>
      </c>
      <c r="C912" s="51" t="s">
        <v>70</v>
      </c>
      <c r="D912" s="25" t="s">
        <v>780</v>
      </c>
      <c r="E912" s="28"/>
    </row>
    <row r="913" spans="1:5" ht="17" x14ac:dyDescent="0.2">
      <c r="A913" s="50" t="s">
        <v>748</v>
      </c>
      <c r="B913" s="22">
        <v>661748</v>
      </c>
      <c r="C913" s="30" t="s">
        <v>70</v>
      </c>
      <c r="D913" s="25" t="s">
        <v>170</v>
      </c>
      <c r="E913" s="28"/>
    </row>
    <row r="914" spans="1:5" ht="17" x14ac:dyDescent="0.2">
      <c r="A914" s="50" t="s">
        <v>748</v>
      </c>
      <c r="B914" s="22">
        <v>2817013</v>
      </c>
      <c r="C914" s="30" t="s">
        <v>84</v>
      </c>
      <c r="D914" s="25" t="s">
        <v>781</v>
      </c>
      <c r="E914" s="28"/>
    </row>
    <row r="915" spans="1:5" ht="17" x14ac:dyDescent="0.2">
      <c r="A915" s="50" t="s">
        <v>748</v>
      </c>
      <c r="B915" s="22">
        <v>2832011</v>
      </c>
      <c r="C915" s="30" t="s">
        <v>84</v>
      </c>
      <c r="D915" s="25" t="s">
        <v>782</v>
      </c>
      <c r="E915" s="28"/>
    </row>
    <row r="916" spans="1:5" ht="17" x14ac:dyDescent="0.2">
      <c r="A916" s="50" t="s">
        <v>748</v>
      </c>
      <c r="B916" s="22">
        <v>5028612</v>
      </c>
      <c r="C916" s="30" t="s">
        <v>84</v>
      </c>
      <c r="D916" s="25" t="s">
        <v>783</v>
      </c>
      <c r="E916" s="28"/>
    </row>
    <row r="917" spans="1:5" ht="17" x14ac:dyDescent="0.2">
      <c r="A917" s="50" t="s">
        <v>748</v>
      </c>
      <c r="B917" s="22">
        <v>716048</v>
      </c>
      <c r="C917" s="30" t="s">
        <v>84</v>
      </c>
      <c r="D917" s="25" t="s">
        <v>784</v>
      </c>
      <c r="E917" s="28"/>
    </row>
    <row r="918" spans="1:5" ht="17" x14ac:dyDescent="0.2">
      <c r="A918" s="50" t="s">
        <v>748</v>
      </c>
      <c r="B918" s="22">
        <v>2860033</v>
      </c>
      <c r="C918" s="30" t="s">
        <v>84</v>
      </c>
      <c r="D918" s="25" t="s">
        <v>785</v>
      </c>
      <c r="E918" s="28"/>
    </row>
    <row r="919" spans="1:5" ht="17" x14ac:dyDescent="0.2">
      <c r="A919" s="50" t="s">
        <v>748</v>
      </c>
      <c r="B919" s="22">
        <v>2824355</v>
      </c>
      <c r="C919" s="30" t="s">
        <v>84</v>
      </c>
      <c r="D919" s="25" t="s">
        <v>786</v>
      </c>
      <c r="E919" s="28"/>
    </row>
    <row r="920" spans="1:5" ht="17" x14ac:dyDescent="0.2">
      <c r="A920" s="50" t="s">
        <v>748</v>
      </c>
      <c r="B920" s="22">
        <v>628688</v>
      </c>
      <c r="C920" s="30" t="s">
        <v>76</v>
      </c>
      <c r="D920" s="25" t="s">
        <v>787</v>
      </c>
      <c r="E920" s="28"/>
    </row>
    <row r="921" spans="1:5" ht="17" x14ac:dyDescent="0.2">
      <c r="A921" s="50" t="s">
        <v>748</v>
      </c>
      <c r="B921" s="22">
        <v>2841297</v>
      </c>
      <c r="C921" s="27" t="s">
        <v>76</v>
      </c>
      <c r="D921" s="25" t="s">
        <v>788</v>
      </c>
      <c r="E921" s="28"/>
    </row>
    <row r="922" spans="1:5" ht="17" x14ac:dyDescent="0.2">
      <c r="A922" s="50" t="s">
        <v>748</v>
      </c>
      <c r="B922" s="22">
        <v>444923</v>
      </c>
      <c r="C922" s="27" t="s">
        <v>76</v>
      </c>
      <c r="D922" s="25" t="s">
        <v>789</v>
      </c>
      <c r="E922" s="28"/>
    </row>
    <row r="923" spans="1:5" ht="17" x14ac:dyDescent="0.2">
      <c r="A923" s="50" t="s">
        <v>748</v>
      </c>
      <c r="B923" s="22">
        <v>2803421</v>
      </c>
      <c r="C923" s="27" t="s">
        <v>76</v>
      </c>
      <c r="D923" s="34" t="s">
        <v>790</v>
      </c>
      <c r="E923" s="28"/>
    </row>
    <row r="924" spans="1:5" ht="17" x14ac:dyDescent="0.2">
      <c r="A924" s="50" t="s">
        <v>748</v>
      </c>
      <c r="B924" s="22">
        <v>599603</v>
      </c>
      <c r="C924" s="27" t="s">
        <v>76</v>
      </c>
      <c r="D924" s="25" t="s">
        <v>791</v>
      </c>
      <c r="E924" s="28"/>
    </row>
    <row r="925" spans="1:5" ht="17" x14ac:dyDescent="0.2">
      <c r="A925" s="50" t="s">
        <v>748</v>
      </c>
      <c r="B925" s="22">
        <v>601770</v>
      </c>
      <c r="C925" s="27" t="s">
        <v>76</v>
      </c>
      <c r="D925" s="25" t="s">
        <v>792</v>
      </c>
      <c r="E925" s="28"/>
    </row>
    <row r="926" spans="1:5" ht="17" x14ac:dyDescent="0.2">
      <c r="A926" s="50" t="s">
        <v>748</v>
      </c>
      <c r="B926" s="22">
        <v>612175</v>
      </c>
      <c r="C926" s="27" t="s">
        <v>76</v>
      </c>
      <c r="D926" s="25" t="s">
        <v>793</v>
      </c>
      <c r="E926" s="28"/>
    </row>
    <row r="927" spans="1:5" ht="17" x14ac:dyDescent="0.2">
      <c r="A927" s="50" t="s">
        <v>748</v>
      </c>
      <c r="B927" s="29">
        <v>769279</v>
      </c>
      <c r="C927" s="27" t="s">
        <v>76</v>
      </c>
      <c r="D927" s="25" t="s">
        <v>794</v>
      </c>
      <c r="E927" s="28"/>
    </row>
    <row r="928" spans="1:5" ht="17" x14ac:dyDescent="0.2">
      <c r="A928" s="50" t="s">
        <v>748</v>
      </c>
      <c r="B928" s="22">
        <v>700792</v>
      </c>
      <c r="C928" s="27" t="s">
        <v>76</v>
      </c>
      <c r="D928" s="25" t="s">
        <v>239</v>
      </c>
      <c r="E928" s="28"/>
    </row>
    <row r="929" spans="1:5" ht="17" x14ac:dyDescent="0.2">
      <c r="A929" s="50" t="s">
        <v>748</v>
      </c>
      <c r="B929" s="22">
        <v>433942</v>
      </c>
      <c r="C929" s="27" t="s">
        <v>76</v>
      </c>
      <c r="D929" s="25" t="s">
        <v>795</v>
      </c>
      <c r="E929" s="28"/>
    </row>
    <row r="930" spans="1:5" ht="17" x14ac:dyDescent="0.2">
      <c r="A930" s="50" t="s">
        <v>748</v>
      </c>
      <c r="B930" s="22">
        <v>466170</v>
      </c>
      <c r="C930" s="27" t="s">
        <v>76</v>
      </c>
      <c r="D930" s="25" t="s">
        <v>796</v>
      </c>
      <c r="E930" s="28"/>
    </row>
    <row r="931" spans="1:5" ht="17" x14ac:dyDescent="0.2">
      <c r="A931" s="50" t="s">
        <v>748</v>
      </c>
      <c r="B931" s="22">
        <v>567787</v>
      </c>
      <c r="C931" s="27" t="s">
        <v>76</v>
      </c>
      <c r="D931" s="25" t="s">
        <v>797</v>
      </c>
      <c r="E931" s="28"/>
    </row>
    <row r="932" spans="1:5" ht="17" x14ac:dyDescent="0.2">
      <c r="A932" s="50" t="s">
        <v>748</v>
      </c>
      <c r="B932" s="22">
        <v>628689</v>
      </c>
      <c r="C932" s="27" t="s">
        <v>76</v>
      </c>
      <c r="D932" s="25" t="s">
        <v>798</v>
      </c>
      <c r="E932" s="28"/>
    </row>
    <row r="933" spans="1:5" ht="17" x14ac:dyDescent="0.2">
      <c r="A933" s="50" t="s">
        <v>748</v>
      </c>
      <c r="B933" s="22">
        <v>628692</v>
      </c>
      <c r="C933" s="27" t="s">
        <v>76</v>
      </c>
      <c r="D933" s="25" t="s">
        <v>799</v>
      </c>
      <c r="E933" s="28"/>
    </row>
    <row r="934" spans="1:5" ht="17" x14ac:dyDescent="0.2">
      <c r="A934" s="50" t="s">
        <v>748</v>
      </c>
      <c r="B934" s="22">
        <v>612174</v>
      </c>
      <c r="C934" s="27" t="s">
        <v>76</v>
      </c>
      <c r="D934" s="25" t="s">
        <v>800</v>
      </c>
      <c r="E934" s="28"/>
    </row>
    <row r="935" spans="1:5" ht="17" x14ac:dyDescent="0.2">
      <c r="A935" s="50" t="s">
        <v>748</v>
      </c>
      <c r="B935" s="22">
        <v>587597</v>
      </c>
      <c r="C935" s="27" t="s">
        <v>76</v>
      </c>
      <c r="D935" s="25" t="s">
        <v>801</v>
      </c>
      <c r="E935" s="28"/>
    </row>
    <row r="936" spans="1:5" ht="17" x14ac:dyDescent="0.2">
      <c r="A936" s="50" t="s">
        <v>748</v>
      </c>
      <c r="B936" s="22">
        <v>592493</v>
      </c>
      <c r="C936" s="27" t="s">
        <v>76</v>
      </c>
      <c r="D936" s="25" t="s">
        <v>802</v>
      </c>
      <c r="E936" s="28"/>
    </row>
    <row r="937" spans="1:5" ht="17" x14ac:dyDescent="0.2">
      <c r="A937" s="50" t="s">
        <v>748</v>
      </c>
      <c r="B937" s="22">
        <v>601769</v>
      </c>
      <c r="C937" s="27" t="s">
        <v>76</v>
      </c>
      <c r="D937" s="25" t="s">
        <v>322</v>
      </c>
      <c r="E937" s="28"/>
    </row>
    <row r="938" spans="1:5" ht="17" x14ac:dyDescent="0.2">
      <c r="A938" s="50" t="s">
        <v>748</v>
      </c>
      <c r="B938" s="22">
        <v>669537</v>
      </c>
      <c r="C938" s="27" t="s">
        <v>76</v>
      </c>
      <c r="D938" s="25" t="s">
        <v>803</v>
      </c>
      <c r="E938" s="28"/>
    </row>
    <row r="939" spans="1:5" ht="17" x14ac:dyDescent="0.2">
      <c r="A939" s="50" t="s">
        <v>748</v>
      </c>
      <c r="B939" s="22">
        <v>383528</v>
      </c>
      <c r="C939" s="27" t="s">
        <v>76</v>
      </c>
      <c r="D939" s="25" t="s">
        <v>804</v>
      </c>
      <c r="E939" s="28"/>
    </row>
    <row r="940" spans="1:5" ht="17" x14ac:dyDescent="0.2">
      <c r="A940" s="50" t="s">
        <v>748</v>
      </c>
      <c r="B940" s="22">
        <v>616662</v>
      </c>
      <c r="C940" s="27" t="s">
        <v>76</v>
      </c>
      <c r="D940" s="34" t="s">
        <v>805</v>
      </c>
      <c r="E940" s="28"/>
    </row>
    <row r="941" spans="1:5" ht="17" x14ac:dyDescent="0.2">
      <c r="A941" s="50" t="s">
        <v>748</v>
      </c>
      <c r="B941" s="22">
        <v>520220</v>
      </c>
      <c r="C941" s="27" t="s">
        <v>76</v>
      </c>
      <c r="D941" s="25" t="s">
        <v>129</v>
      </c>
      <c r="E941" s="28"/>
    </row>
    <row r="942" spans="1:5" ht="17" x14ac:dyDescent="0.2">
      <c r="A942" s="50" t="s">
        <v>748</v>
      </c>
      <c r="B942" s="22">
        <v>429635</v>
      </c>
      <c r="C942" s="27" t="s">
        <v>76</v>
      </c>
      <c r="D942" s="25" t="s">
        <v>806</v>
      </c>
      <c r="E942" s="28"/>
    </row>
    <row r="943" spans="1:5" ht="17" x14ac:dyDescent="0.2">
      <c r="A943" s="50" t="s">
        <v>748</v>
      </c>
      <c r="B943" s="22">
        <v>441831</v>
      </c>
      <c r="C943" s="27" t="s">
        <v>76</v>
      </c>
      <c r="D943" s="25" t="s">
        <v>807</v>
      </c>
      <c r="E943" s="28"/>
    </row>
    <row r="944" spans="1:5" ht="17" x14ac:dyDescent="0.2">
      <c r="A944" s="50" t="s">
        <v>748</v>
      </c>
      <c r="B944" s="22">
        <v>434461</v>
      </c>
      <c r="C944" s="27" t="s">
        <v>76</v>
      </c>
      <c r="D944" s="25" t="s">
        <v>808</v>
      </c>
      <c r="E944" s="28"/>
    </row>
    <row r="945" spans="1:5" ht="17" x14ac:dyDescent="0.2">
      <c r="A945" s="50" t="s">
        <v>748</v>
      </c>
      <c r="B945" s="22">
        <v>471664</v>
      </c>
      <c r="C945" s="27" t="s">
        <v>76</v>
      </c>
      <c r="D945" s="25" t="s">
        <v>809</v>
      </c>
      <c r="E945" s="28"/>
    </row>
    <row r="946" spans="1:5" ht="17" x14ac:dyDescent="0.2">
      <c r="A946" s="50" t="s">
        <v>748</v>
      </c>
      <c r="B946" s="22">
        <v>2228265</v>
      </c>
      <c r="C946" s="27" t="s">
        <v>76</v>
      </c>
      <c r="D946" s="25" t="s">
        <v>810</v>
      </c>
      <c r="E946" s="28"/>
    </row>
    <row r="947" spans="1:5" ht="17" x14ac:dyDescent="0.2">
      <c r="A947" s="50" t="s">
        <v>748</v>
      </c>
      <c r="B947" s="22">
        <v>2811351</v>
      </c>
      <c r="C947" s="27" t="s">
        <v>76</v>
      </c>
      <c r="D947" s="25" t="s">
        <v>687</v>
      </c>
      <c r="E947" s="28"/>
    </row>
    <row r="948" spans="1:5" ht="17" x14ac:dyDescent="0.2">
      <c r="A948" s="50" t="s">
        <v>748</v>
      </c>
      <c r="B948" s="22">
        <v>2818079</v>
      </c>
      <c r="C948" s="27" t="s">
        <v>76</v>
      </c>
      <c r="D948" s="25" t="s">
        <v>811</v>
      </c>
      <c r="E948" s="28"/>
    </row>
    <row r="949" spans="1:5" ht="17" x14ac:dyDescent="0.2">
      <c r="A949" s="50" t="s">
        <v>748</v>
      </c>
      <c r="B949" s="22">
        <v>2820166</v>
      </c>
      <c r="C949" s="27" t="s">
        <v>76</v>
      </c>
      <c r="D949" s="25" t="s">
        <v>812</v>
      </c>
      <c r="E949" s="28"/>
    </row>
    <row r="950" spans="1:5" ht="17" x14ac:dyDescent="0.2">
      <c r="A950" s="50" t="s">
        <v>748</v>
      </c>
      <c r="B950" s="22">
        <v>2820192</v>
      </c>
      <c r="C950" s="27" t="s">
        <v>76</v>
      </c>
      <c r="D950" s="25" t="s">
        <v>813</v>
      </c>
      <c r="E950" s="28"/>
    </row>
    <row r="951" spans="1:5" ht="17" x14ac:dyDescent="0.2">
      <c r="A951" s="50" t="s">
        <v>748</v>
      </c>
      <c r="B951" s="22">
        <v>2822371</v>
      </c>
      <c r="C951" s="27" t="s">
        <v>76</v>
      </c>
      <c r="D951" s="25" t="s">
        <v>814</v>
      </c>
      <c r="E951" s="28"/>
    </row>
    <row r="952" spans="1:5" ht="17" x14ac:dyDescent="0.2">
      <c r="A952" s="50" t="s">
        <v>748</v>
      </c>
      <c r="B952" s="22">
        <v>2823546</v>
      </c>
      <c r="C952" s="27" t="s">
        <v>76</v>
      </c>
      <c r="D952" s="48" t="s">
        <v>815</v>
      </c>
      <c r="E952" s="28"/>
    </row>
    <row r="953" spans="1:5" ht="17" x14ac:dyDescent="0.2">
      <c r="A953" s="50" t="s">
        <v>748</v>
      </c>
      <c r="B953" s="22">
        <v>2823547</v>
      </c>
      <c r="C953" s="27" t="s">
        <v>76</v>
      </c>
      <c r="D953" s="25" t="s">
        <v>328</v>
      </c>
      <c r="E953" s="28"/>
    </row>
    <row r="954" spans="1:5" ht="17" x14ac:dyDescent="0.2">
      <c r="A954" s="50" t="s">
        <v>748</v>
      </c>
      <c r="B954" s="22">
        <v>2825605</v>
      </c>
      <c r="C954" s="27" t="s">
        <v>76</v>
      </c>
      <c r="D954" s="25" t="s">
        <v>690</v>
      </c>
      <c r="E954" s="28"/>
    </row>
    <row r="955" spans="1:5" ht="17" x14ac:dyDescent="0.2">
      <c r="A955" s="50" t="s">
        <v>748</v>
      </c>
      <c r="B955" s="22">
        <v>2976142</v>
      </c>
      <c r="C955" s="27" t="s">
        <v>76</v>
      </c>
      <c r="D955" s="25" t="s">
        <v>691</v>
      </c>
      <c r="E955" s="28"/>
    </row>
    <row r="956" spans="1:5" ht="17" x14ac:dyDescent="0.2">
      <c r="A956" s="50" t="s">
        <v>748</v>
      </c>
      <c r="B956" s="22">
        <v>2825438</v>
      </c>
      <c r="C956" s="27" t="s">
        <v>76</v>
      </c>
      <c r="D956" s="25" t="s">
        <v>692</v>
      </c>
      <c r="E956" s="28"/>
    </row>
    <row r="957" spans="1:5" ht="17" x14ac:dyDescent="0.2">
      <c r="A957" s="50" t="s">
        <v>748</v>
      </c>
      <c r="B957" s="22">
        <v>2822642</v>
      </c>
      <c r="C957" s="27" t="s">
        <v>76</v>
      </c>
      <c r="D957" s="25" t="s">
        <v>816</v>
      </c>
      <c r="E957" s="28"/>
    </row>
    <row r="958" spans="1:5" ht="34" x14ac:dyDescent="0.2">
      <c r="A958" s="26" t="s">
        <v>817</v>
      </c>
      <c r="B958" s="19" t="s">
        <v>10</v>
      </c>
      <c r="C958" s="19" t="s">
        <v>11</v>
      </c>
      <c r="D958" s="21" t="s">
        <v>12</v>
      </c>
      <c r="E958" s="21" t="s">
        <v>13</v>
      </c>
    </row>
    <row r="959" spans="1:5" ht="34" x14ac:dyDescent="0.2">
      <c r="A959" s="26" t="s">
        <v>817</v>
      </c>
      <c r="B959" s="75">
        <v>751330</v>
      </c>
      <c r="C959" s="27" t="s">
        <v>14</v>
      </c>
      <c r="D959" s="76" t="s">
        <v>818</v>
      </c>
      <c r="E959" s="76" t="s">
        <v>819</v>
      </c>
    </row>
    <row r="960" spans="1:5" ht="34" x14ac:dyDescent="0.2">
      <c r="A960" s="26" t="s">
        <v>817</v>
      </c>
      <c r="B960" s="75">
        <v>653239</v>
      </c>
      <c r="C960" s="27" t="s">
        <v>14</v>
      </c>
      <c r="D960" s="76" t="s">
        <v>820</v>
      </c>
      <c r="E960" s="76" t="str">
        <f>HYPERLINK("https://www.linkedin.com/learning/paths/advance-your-skills-as-an-it-help-desk-specialist?u=104","Advance your Skills as an IT Help Desk Specialist")</f>
        <v>Advance your Skills as an IT Help Desk Specialist</v>
      </c>
    </row>
    <row r="961" spans="1:5" ht="34" x14ac:dyDescent="0.2">
      <c r="A961" s="26" t="s">
        <v>817</v>
      </c>
      <c r="B961" s="75">
        <v>531463</v>
      </c>
      <c r="C961" s="27" t="s">
        <v>14</v>
      </c>
      <c r="D961" s="76" t="s">
        <v>568</v>
      </c>
      <c r="E961" s="76" t="s">
        <v>821</v>
      </c>
    </row>
    <row r="962" spans="1:5" ht="34" x14ac:dyDescent="0.2">
      <c r="A962" s="26" t="s">
        <v>817</v>
      </c>
      <c r="B962" s="75">
        <v>2822405</v>
      </c>
      <c r="C962" s="27" t="s">
        <v>14</v>
      </c>
      <c r="D962" s="76" t="s">
        <v>822</v>
      </c>
      <c r="E962" s="76" t="s">
        <v>823</v>
      </c>
    </row>
    <row r="963" spans="1:5" ht="34" x14ac:dyDescent="0.2">
      <c r="A963" s="26" t="s">
        <v>817</v>
      </c>
      <c r="B963" s="75">
        <v>2834021</v>
      </c>
      <c r="C963" s="27" t="s">
        <v>14</v>
      </c>
      <c r="D963" s="76" t="s">
        <v>824</v>
      </c>
      <c r="E963" s="76" t="str">
        <f>HYPERLINK("https://www.linkedin.com/learning/paths/applying-lean-devops-and-agile-to-your-it-organization?u=104","Applying Lean, DevOps, and Agile to your IT Organization")</f>
        <v>Applying Lean, DevOps, and Agile to your IT Organization</v>
      </c>
    </row>
    <row r="964" spans="1:5" ht="34" x14ac:dyDescent="0.2">
      <c r="A964" s="26" t="s">
        <v>817</v>
      </c>
      <c r="B964" s="75">
        <v>2807864</v>
      </c>
      <c r="C964" s="27" t="s">
        <v>17</v>
      </c>
      <c r="D964" s="77" t="str">
        <f>HYPERLINK("https://www.linkedin.com/learning/learning-system-center-configuration-manager-2","Learning System Center Configuration Manager")</f>
        <v>Learning System Center Configuration Manager</v>
      </c>
      <c r="E964" s="76" t="s">
        <v>825</v>
      </c>
    </row>
    <row r="965" spans="1:5" ht="34" x14ac:dyDescent="0.2">
      <c r="A965" s="26" t="s">
        <v>817</v>
      </c>
      <c r="B965" s="75">
        <v>772323</v>
      </c>
      <c r="C965" s="27" t="s">
        <v>17</v>
      </c>
      <c r="D965" s="76" t="s">
        <v>826</v>
      </c>
      <c r="E965" s="76" t="s">
        <v>827</v>
      </c>
    </row>
    <row r="966" spans="1:5" ht="34" x14ac:dyDescent="0.2">
      <c r="A966" s="26" t="s">
        <v>817</v>
      </c>
      <c r="B966" s="75">
        <v>728391</v>
      </c>
      <c r="C966" s="27" t="s">
        <v>17</v>
      </c>
      <c r="D966" s="76" t="s">
        <v>828</v>
      </c>
      <c r="E966" s="76" t="s">
        <v>829</v>
      </c>
    </row>
    <row r="967" spans="1:5" ht="34" x14ac:dyDescent="0.2">
      <c r="A967" s="26" t="s">
        <v>817</v>
      </c>
      <c r="B967" s="75">
        <v>746311</v>
      </c>
      <c r="C967" s="27" t="s">
        <v>17</v>
      </c>
      <c r="D967" s="76" t="s">
        <v>830</v>
      </c>
      <c r="E967" s="76" t="str">
        <f>HYPERLINK("https://www.linkedin.com/learning/paths/master-the-fundamentals-of-ai-and-machine-learning?u=104","Become an AI and Machine Learning Specialist Part 2")</f>
        <v>Become an AI and Machine Learning Specialist Part 2</v>
      </c>
    </row>
    <row r="968" spans="1:5" ht="34" x14ac:dyDescent="0.2">
      <c r="A968" s="26" t="s">
        <v>817</v>
      </c>
      <c r="B968" s="75">
        <v>5035815</v>
      </c>
      <c r="C968" s="27" t="s">
        <v>17</v>
      </c>
      <c r="D968" s="76" t="s">
        <v>831</v>
      </c>
      <c r="E968" s="76" t="s">
        <v>832</v>
      </c>
    </row>
    <row r="969" spans="1:5" ht="34" x14ac:dyDescent="0.2">
      <c r="A969" s="26" t="s">
        <v>817</v>
      </c>
      <c r="B969" s="75">
        <v>5025102</v>
      </c>
      <c r="C969" s="27" t="s">
        <v>17</v>
      </c>
      <c r="D969" s="76" t="s">
        <v>833</v>
      </c>
      <c r="E969" s="76" t="str">
        <f>HYPERLINK("https://www.linkedin.com/learning/paths/become-an-it-security-specialist","Become an IT Security Specialist")</f>
        <v>Become an IT Security Specialist</v>
      </c>
    </row>
    <row r="970" spans="1:5" ht="34" x14ac:dyDescent="0.2">
      <c r="A970" s="26" t="s">
        <v>817</v>
      </c>
      <c r="B970" s="75">
        <v>806167</v>
      </c>
      <c r="C970" s="27" t="s">
        <v>17</v>
      </c>
      <c r="D970" s="76" t="s">
        <v>834</v>
      </c>
      <c r="E970" s="76" t="str">
        <f>HYPERLINK("https://www.linkedin.com/learning/paths/become-an-it-support-technician?u=104","Become an IT Technician")</f>
        <v>Become an IT Technician</v>
      </c>
    </row>
    <row r="971" spans="1:5" ht="34" x14ac:dyDescent="0.2">
      <c r="A971" s="26" t="s">
        <v>817</v>
      </c>
      <c r="B971" s="75">
        <v>601799</v>
      </c>
      <c r="C971" s="27" t="s">
        <v>17</v>
      </c>
      <c r="D971" s="76" t="s">
        <v>835</v>
      </c>
      <c r="E971" s="76" t="s">
        <v>836</v>
      </c>
    </row>
    <row r="972" spans="1:5" ht="34" x14ac:dyDescent="0.2">
      <c r="A972" s="26" t="s">
        <v>817</v>
      </c>
      <c r="B972" s="75">
        <v>601797</v>
      </c>
      <c r="C972" s="27" t="s">
        <v>17</v>
      </c>
      <c r="D972" s="76" t="s">
        <v>837</v>
      </c>
      <c r="E972" s="76" t="str">
        <f>HYPERLINK("https://www.linkedin.com/learning/paths/improve-your-itil-skills?u=104","Improve Your ITIL Skills")</f>
        <v>Improve Your ITIL Skills</v>
      </c>
    </row>
    <row r="973" spans="1:5" ht="34" x14ac:dyDescent="0.2">
      <c r="A973" s="26" t="s">
        <v>817</v>
      </c>
      <c r="B973" s="78">
        <v>601798</v>
      </c>
      <c r="C973" s="79" t="s">
        <v>17</v>
      </c>
      <c r="D973" s="76" t="s">
        <v>838</v>
      </c>
      <c r="E973" s="76" t="s">
        <v>839</v>
      </c>
    </row>
    <row r="974" spans="1:5" ht="34" x14ac:dyDescent="0.2">
      <c r="A974" s="26" t="s">
        <v>817</v>
      </c>
      <c r="B974" s="75">
        <v>791354</v>
      </c>
      <c r="C974" s="27" t="s">
        <v>17</v>
      </c>
      <c r="D974" s="76" t="s">
        <v>840</v>
      </c>
      <c r="E974" s="80"/>
    </row>
    <row r="975" spans="1:5" ht="34" x14ac:dyDescent="0.2">
      <c r="A975" s="26" t="s">
        <v>817</v>
      </c>
      <c r="B975" s="75">
        <v>743171</v>
      </c>
      <c r="C975" s="27" t="s">
        <v>17</v>
      </c>
      <c r="D975" s="76" t="s">
        <v>841</v>
      </c>
      <c r="E975" s="76"/>
    </row>
    <row r="976" spans="1:5" ht="34" x14ac:dyDescent="0.2">
      <c r="A976" s="26" t="s">
        <v>817</v>
      </c>
      <c r="B976" s="81">
        <v>5043063</v>
      </c>
      <c r="C976" s="27" t="s">
        <v>17</v>
      </c>
      <c r="D976" s="76" t="s">
        <v>842</v>
      </c>
      <c r="E976" s="76"/>
    </row>
    <row r="977" spans="1:5" ht="34" x14ac:dyDescent="0.2">
      <c r="A977" s="26" t="s">
        <v>817</v>
      </c>
      <c r="B977" s="75">
        <v>2804664</v>
      </c>
      <c r="C977" s="27" t="s">
        <v>17</v>
      </c>
      <c r="D977" s="76" t="s">
        <v>602</v>
      </c>
      <c r="E977" s="76"/>
    </row>
    <row r="978" spans="1:5" ht="34" x14ac:dyDescent="0.2">
      <c r="A978" s="26" t="s">
        <v>817</v>
      </c>
      <c r="B978" s="75">
        <v>2805571</v>
      </c>
      <c r="C978" s="27" t="s">
        <v>17</v>
      </c>
      <c r="D978" s="76" t="s">
        <v>843</v>
      </c>
      <c r="E978" s="76"/>
    </row>
    <row r="979" spans="1:5" ht="34" x14ac:dyDescent="0.2">
      <c r="A979" s="26" t="s">
        <v>817</v>
      </c>
      <c r="B979" s="75">
        <v>5030981</v>
      </c>
      <c r="C979" s="27" t="s">
        <v>17</v>
      </c>
      <c r="D979" s="76" t="s">
        <v>844</v>
      </c>
      <c r="E979" s="76"/>
    </row>
    <row r="980" spans="1:5" ht="34" x14ac:dyDescent="0.2">
      <c r="A980" s="26" t="s">
        <v>817</v>
      </c>
      <c r="B980" s="75">
        <v>2822655</v>
      </c>
      <c r="C980" s="27" t="s">
        <v>17</v>
      </c>
      <c r="D980" s="76" t="s">
        <v>845</v>
      </c>
      <c r="E980" s="76"/>
    </row>
    <row r="981" spans="1:5" ht="34" x14ac:dyDescent="0.2">
      <c r="A981" s="26" t="s">
        <v>817</v>
      </c>
      <c r="B981" s="75">
        <v>2822654</v>
      </c>
      <c r="C981" s="27" t="s">
        <v>17</v>
      </c>
      <c r="D981" s="76" t="s">
        <v>846</v>
      </c>
      <c r="E981" s="76"/>
    </row>
    <row r="982" spans="1:5" ht="34" x14ac:dyDescent="0.2">
      <c r="A982" s="26" t="s">
        <v>817</v>
      </c>
      <c r="B982" s="75">
        <v>2862037</v>
      </c>
      <c r="C982" s="27" t="s">
        <v>17</v>
      </c>
      <c r="D982" s="76" t="s">
        <v>847</v>
      </c>
      <c r="E982" s="76"/>
    </row>
    <row r="983" spans="1:5" ht="34" x14ac:dyDescent="0.2">
      <c r="A983" s="26" t="s">
        <v>817</v>
      </c>
      <c r="B983" s="75">
        <v>2859040</v>
      </c>
      <c r="C983" s="27" t="s">
        <v>17</v>
      </c>
      <c r="D983" s="76" t="s">
        <v>848</v>
      </c>
      <c r="E983" s="76"/>
    </row>
    <row r="984" spans="1:5" ht="34" x14ac:dyDescent="0.2">
      <c r="A984" s="26" t="s">
        <v>817</v>
      </c>
      <c r="B984" s="75">
        <v>2864002</v>
      </c>
      <c r="C984" s="27" t="s">
        <v>17</v>
      </c>
      <c r="D984" s="76" t="s">
        <v>849</v>
      </c>
      <c r="E984" s="76"/>
    </row>
    <row r="985" spans="1:5" ht="34" x14ac:dyDescent="0.2">
      <c r="A985" s="26" t="s">
        <v>817</v>
      </c>
      <c r="B985" s="75">
        <v>772329</v>
      </c>
      <c r="C985" s="27" t="s">
        <v>70</v>
      </c>
      <c r="D985" s="76" t="s">
        <v>850</v>
      </c>
      <c r="E985" s="76"/>
    </row>
    <row r="986" spans="1:5" ht="34" x14ac:dyDescent="0.2">
      <c r="A986" s="26" t="s">
        <v>817</v>
      </c>
      <c r="B986" s="75">
        <v>601807</v>
      </c>
      <c r="C986" s="27" t="s">
        <v>70</v>
      </c>
      <c r="D986" s="76" t="s">
        <v>851</v>
      </c>
      <c r="E986" s="76"/>
    </row>
    <row r="987" spans="1:5" ht="34" x14ac:dyDescent="0.2">
      <c r="A987" s="26" t="s">
        <v>817</v>
      </c>
      <c r="B987" s="75">
        <v>751335</v>
      </c>
      <c r="C987" s="27" t="s">
        <v>70</v>
      </c>
      <c r="D987" s="76" t="s">
        <v>852</v>
      </c>
      <c r="E987" s="76"/>
    </row>
    <row r="988" spans="1:5" ht="34" x14ac:dyDescent="0.2">
      <c r="A988" s="26" t="s">
        <v>817</v>
      </c>
      <c r="B988" s="75">
        <v>508873</v>
      </c>
      <c r="C988" s="27" t="s">
        <v>70</v>
      </c>
      <c r="D988" s="76" t="s">
        <v>853</v>
      </c>
      <c r="E988" s="76"/>
    </row>
    <row r="989" spans="1:5" ht="34" x14ac:dyDescent="0.2">
      <c r="A989" s="26" t="s">
        <v>817</v>
      </c>
      <c r="B989" s="75">
        <v>737753</v>
      </c>
      <c r="C989" s="27" t="s">
        <v>70</v>
      </c>
      <c r="D989" s="76" t="s">
        <v>854</v>
      </c>
      <c r="E989" s="76"/>
    </row>
    <row r="990" spans="1:5" ht="34" x14ac:dyDescent="0.2">
      <c r="A990" s="26" t="s">
        <v>817</v>
      </c>
      <c r="B990" s="75">
        <v>548594</v>
      </c>
      <c r="C990" s="27" t="s">
        <v>70</v>
      </c>
      <c r="D990" s="76" t="s">
        <v>855</v>
      </c>
      <c r="E990" s="76"/>
    </row>
    <row r="991" spans="1:5" ht="34" x14ac:dyDescent="0.2">
      <c r="A991" s="26" t="s">
        <v>817</v>
      </c>
      <c r="B991" s="75">
        <v>5028662</v>
      </c>
      <c r="C991" s="27" t="s">
        <v>70</v>
      </c>
      <c r="D991" s="76" t="s">
        <v>856</v>
      </c>
      <c r="E991" s="76"/>
    </row>
    <row r="992" spans="1:5" ht="34" x14ac:dyDescent="0.2">
      <c r="A992" s="26" t="s">
        <v>817</v>
      </c>
      <c r="B992" s="75">
        <v>5034175</v>
      </c>
      <c r="C992" s="27" t="s">
        <v>70</v>
      </c>
      <c r="D992" s="76" t="s">
        <v>857</v>
      </c>
      <c r="E992" s="76"/>
    </row>
    <row r="993" spans="1:5" ht="34" x14ac:dyDescent="0.2">
      <c r="A993" s="26" t="s">
        <v>817</v>
      </c>
      <c r="B993" s="75">
        <v>2833044</v>
      </c>
      <c r="C993" s="27" t="s">
        <v>70</v>
      </c>
      <c r="D993" s="76" t="s">
        <v>458</v>
      </c>
      <c r="E993" s="76"/>
    </row>
    <row r="994" spans="1:5" ht="34" x14ac:dyDescent="0.2">
      <c r="A994" s="26" t="s">
        <v>817</v>
      </c>
      <c r="B994" s="75">
        <v>3107157</v>
      </c>
      <c r="C994" s="27" t="s">
        <v>84</v>
      </c>
      <c r="D994" s="76" t="s">
        <v>858</v>
      </c>
      <c r="E994" s="76"/>
    </row>
    <row r="995" spans="1:5" ht="34" x14ac:dyDescent="0.2">
      <c r="A995" s="26" t="s">
        <v>817</v>
      </c>
      <c r="B995" s="75">
        <v>2848240</v>
      </c>
      <c r="C995" s="27" t="s">
        <v>84</v>
      </c>
      <c r="D995" s="76" t="s">
        <v>859</v>
      </c>
      <c r="E995" s="76"/>
    </row>
    <row r="996" spans="1:5" ht="34" x14ac:dyDescent="0.2">
      <c r="A996" s="26" t="s">
        <v>817</v>
      </c>
      <c r="B996" s="75">
        <v>2808537</v>
      </c>
      <c r="C996" s="30" t="s">
        <v>76</v>
      </c>
      <c r="D996" s="76" t="s">
        <v>860</v>
      </c>
      <c r="E996" s="76"/>
    </row>
    <row r="997" spans="1:5" ht="34" x14ac:dyDescent="0.2">
      <c r="A997" s="26" t="s">
        <v>817</v>
      </c>
      <c r="B997" s="75">
        <v>2809586</v>
      </c>
      <c r="C997" s="30" t="s">
        <v>76</v>
      </c>
      <c r="D997" s="76" t="s">
        <v>861</v>
      </c>
      <c r="E997" s="76"/>
    </row>
    <row r="998" spans="1:5" ht="34" x14ac:dyDescent="0.2">
      <c r="A998" s="26" t="s">
        <v>817</v>
      </c>
      <c r="B998" s="75">
        <v>2809587</v>
      </c>
      <c r="C998" s="30" t="s">
        <v>76</v>
      </c>
      <c r="D998" s="76" t="s">
        <v>862</v>
      </c>
      <c r="E998" s="76"/>
    </row>
    <row r="999" spans="1:5" ht="34" x14ac:dyDescent="0.2">
      <c r="A999" s="26" t="s">
        <v>817</v>
      </c>
      <c r="B999" s="75">
        <v>782130</v>
      </c>
      <c r="C999" s="27" t="s">
        <v>76</v>
      </c>
      <c r="D999" s="76" t="s">
        <v>863</v>
      </c>
      <c r="E999" s="76"/>
    </row>
    <row r="1000" spans="1:5" ht="34" x14ac:dyDescent="0.2">
      <c r="A1000" s="26" t="s">
        <v>817</v>
      </c>
      <c r="B1000" s="75">
        <v>2853006</v>
      </c>
      <c r="C1000" s="27" t="s">
        <v>76</v>
      </c>
      <c r="D1000" s="76" t="s">
        <v>864</v>
      </c>
      <c r="E1000" s="76"/>
    </row>
    <row r="1001" spans="1:5" ht="34" x14ac:dyDescent="0.2">
      <c r="A1001" s="26" t="s">
        <v>817</v>
      </c>
      <c r="B1001" s="75">
        <v>2814070</v>
      </c>
      <c r="C1001" s="27" t="s">
        <v>76</v>
      </c>
      <c r="D1001" s="76" t="s">
        <v>865</v>
      </c>
      <c r="E1001" s="76"/>
    </row>
    <row r="1002" spans="1:5" ht="34" x14ac:dyDescent="0.2">
      <c r="A1002" s="26" t="s">
        <v>817</v>
      </c>
      <c r="B1002" s="75">
        <v>2849034</v>
      </c>
      <c r="C1002" s="27" t="s">
        <v>76</v>
      </c>
      <c r="D1002" s="76" t="s">
        <v>83</v>
      </c>
      <c r="E1002" s="76"/>
    </row>
    <row r="1003" spans="1:5" ht="34" x14ac:dyDescent="0.2">
      <c r="A1003" s="26" t="s">
        <v>817</v>
      </c>
      <c r="B1003" s="75">
        <v>2828008</v>
      </c>
      <c r="C1003" s="27" t="s">
        <v>76</v>
      </c>
      <c r="D1003" s="76" t="s">
        <v>178</v>
      </c>
      <c r="E1003" s="76"/>
    </row>
    <row r="1004" spans="1:5" ht="34" x14ac:dyDescent="0.2">
      <c r="A1004" s="26" t="s">
        <v>817</v>
      </c>
      <c r="B1004" s="75">
        <v>656788</v>
      </c>
      <c r="C1004" s="27" t="s">
        <v>76</v>
      </c>
      <c r="D1004" s="76" t="s">
        <v>866</v>
      </c>
      <c r="E1004" s="76"/>
    </row>
    <row r="1005" spans="1:5" ht="34" x14ac:dyDescent="0.2">
      <c r="A1005" s="26" t="s">
        <v>817</v>
      </c>
      <c r="B1005" s="75">
        <v>2814069</v>
      </c>
      <c r="C1005" s="27" t="s">
        <v>76</v>
      </c>
      <c r="D1005" s="76" t="s">
        <v>867</v>
      </c>
      <c r="E1005" s="76"/>
    </row>
    <row r="1006" spans="1:5" ht="34" x14ac:dyDescent="0.2">
      <c r="A1006" s="26" t="s">
        <v>817</v>
      </c>
      <c r="B1006" s="75">
        <v>731739</v>
      </c>
      <c r="C1006" s="27" t="s">
        <v>76</v>
      </c>
      <c r="D1006" s="76" t="s">
        <v>868</v>
      </c>
      <c r="E1006" s="76"/>
    </row>
    <row r="1007" spans="1:5" ht="34" x14ac:dyDescent="0.2">
      <c r="A1007" s="26" t="s">
        <v>817</v>
      </c>
      <c r="B1007" s="75">
        <v>574705</v>
      </c>
      <c r="C1007" s="27" t="s">
        <v>76</v>
      </c>
      <c r="D1007" s="76" t="s">
        <v>869</v>
      </c>
      <c r="E1007" s="76"/>
    </row>
    <row r="1008" spans="1:5" ht="34" x14ac:dyDescent="0.2">
      <c r="A1008" s="26" t="s">
        <v>817</v>
      </c>
      <c r="B1008" s="75">
        <v>612191</v>
      </c>
      <c r="C1008" s="27" t="s">
        <v>76</v>
      </c>
      <c r="D1008" s="76" t="s">
        <v>870</v>
      </c>
      <c r="E1008" s="76"/>
    </row>
    <row r="1009" spans="1:5" ht="34" x14ac:dyDescent="0.2">
      <c r="A1009" s="26" t="s">
        <v>817</v>
      </c>
      <c r="B1009" s="75">
        <v>645057</v>
      </c>
      <c r="C1009" s="79" t="s">
        <v>76</v>
      </c>
      <c r="D1009" s="76" t="s">
        <v>871</v>
      </c>
      <c r="E1009" s="76"/>
    </row>
    <row r="1010" spans="1:5" ht="34" x14ac:dyDescent="0.2">
      <c r="A1010" s="26" t="s">
        <v>817</v>
      </c>
      <c r="B1010" s="75">
        <v>518697</v>
      </c>
      <c r="C1010" s="27" t="s">
        <v>76</v>
      </c>
      <c r="D1010" s="76" t="s">
        <v>872</v>
      </c>
      <c r="E1010" s="76"/>
    </row>
    <row r="1011" spans="1:5" ht="34" x14ac:dyDescent="0.2">
      <c r="A1011" s="26" t="s">
        <v>817</v>
      </c>
      <c r="B1011" s="75">
        <v>751334</v>
      </c>
      <c r="C1011" s="27" t="s">
        <v>76</v>
      </c>
      <c r="D1011" s="76" t="s">
        <v>873</v>
      </c>
      <c r="E1011" s="76"/>
    </row>
    <row r="1012" spans="1:5" ht="34" x14ac:dyDescent="0.2">
      <c r="A1012" s="26" t="s">
        <v>817</v>
      </c>
      <c r="B1012" s="75">
        <v>606079</v>
      </c>
      <c r="C1012" s="27" t="s">
        <v>76</v>
      </c>
      <c r="D1012" s="76" t="s">
        <v>874</v>
      </c>
      <c r="E1012" s="76"/>
    </row>
    <row r="1013" spans="1:5" ht="34" x14ac:dyDescent="0.2">
      <c r="A1013" s="26" t="s">
        <v>817</v>
      </c>
      <c r="B1013" s="75">
        <v>5016717</v>
      </c>
      <c r="C1013" s="27" t="s">
        <v>76</v>
      </c>
      <c r="D1013" s="76" t="s">
        <v>875</v>
      </c>
      <c r="E1013" s="76"/>
    </row>
    <row r="1014" spans="1:5" ht="34" x14ac:dyDescent="0.2">
      <c r="A1014" s="26" t="s">
        <v>817</v>
      </c>
      <c r="B1014" s="75">
        <v>651196</v>
      </c>
      <c r="C1014" s="27" t="s">
        <v>76</v>
      </c>
      <c r="D1014" s="76" t="s">
        <v>876</v>
      </c>
      <c r="E1014" s="76"/>
    </row>
    <row r="1015" spans="1:5" ht="34" x14ac:dyDescent="0.2">
      <c r="A1015" s="26" t="s">
        <v>817</v>
      </c>
      <c r="B1015" s="75">
        <v>713394</v>
      </c>
      <c r="C1015" s="27" t="s">
        <v>76</v>
      </c>
      <c r="D1015" s="76" t="s">
        <v>877</v>
      </c>
      <c r="E1015" s="76"/>
    </row>
    <row r="1016" spans="1:5" ht="34" x14ac:dyDescent="0.2">
      <c r="A1016" s="26" t="s">
        <v>817</v>
      </c>
      <c r="B1016" s="75">
        <v>802866</v>
      </c>
      <c r="C1016" s="27" t="s">
        <v>76</v>
      </c>
      <c r="D1016" s="77" t="str">
        <f>HYPERLINK("https://www.linkedin.com/learning/amazon-web-services-automation-and-optimization","AWS: Automation and Optimization")</f>
        <v>AWS: Automation and Optimization</v>
      </c>
      <c r="E1016" s="76"/>
    </row>
    <row r="1017" spans="1:5" ht="34" x14ac:dyDescent="0.2">
      <c r="A1017" s="26" t="s">
        <v>817</v>
      </c>
      <c r="B1017" s="75">
        <v>791360</v>
      </c>
      <c r="C1017" s="27" t="s">
        <v>76</v>
      </c>
      <c r="D1017" s="76" t="s">
        <v>878</v>
      </c>
      <c r="E1017" s="76"/>
    </row>
    <row r="1018" spans="1:5" ht="34" x14ac:dyDescent="0.2">
      <c r="A1018" s="26" t="s">
        <v>817</v>
      </c>
      <c r="B1018" s="75">
        <v>667384</v>
      </c>
      <c r="C1018" s="27" t="s">
        <v>76</v>
      </c>
      <c r="D1018" s="77" t="str">
        <f>HYPERLINK("https://www.linkedin.com/learning/ccna-security-210-260-cert-prep-4-secure-routing-and-switching","Cisco Network Security: Secure Routing and Switching")</f>
        <v>Cisco Network Security: Secure Routing and Switching</v>
      </c>
      <c r="E1018" s="76"/>
    </row>
    <row r="1019" spans="1:5" ht="34" x14ac:dyDescent="0.2">
      <c r="A1019" s="26" t="s">
        <v>817</v>
      </c>
      <c r="B1019" s="75">
        <v>585259</v>
      </c>
      <c r="C1019" s="27" t="s">
        <v>76</v>
      </c>
      <c r="D1019" s="76" t="s">
        <v>879</v>
      </c>
      <c r="E1019" s="76"/>
    </row>
    <row r="1020" spans="1:5" ht="34" x14ac:dyDescent="0.2">
      <c r="A1020" s="26" t="s">
        <v>817</v>
      </c>
      <c r="B1020" s="75">
        <v>2802039</v>
      </c>
      <c r="C1020" s="27" t="s">
        <v>76</v>
      </c>
      <c r="D1020" s="77" t="str">
        <f>HYPERLINK("https://www.linkedin.com/learning/learning-g-suite-administration-2","Learning G Suite Administration")</f>
        <v>Learning G Suite Administration</v>
      </c>
      <c r="E1020" s="76"/>
    </row>
    <row r="1021" spans="1:5" ht="34" x14ac:dyDescent="0.2">
      <c r="A1021" s="26" t="s">
        <v>817</v>
      </c>
      <c r="B1021" s="75">
        <v>5028638</v>
      </c>
      <c r="C1021" s="27" t="s">
        <v>76</v>
      </c>
      <c r="D1021" s="76" t="s">
        <v>880</v>
      </c>
      <c r="E1021" s="76"/>
    </row>
    <row r="1022" spans="1:5" ht="34" x14ac:dyDescent="0.2">
      <c r="A1022" s="26" t="s">
        <v>817</v>
      </c>
      <c r="B1022" s="75">
        <v>731741</v>
      </c>
      <c r="C1022" s="27" t="s">
        <v>76</v>
      </c>
      <c r="D1022" s="76" t="s">
        <v>881</v>
      </c>
      <c r="E1022" s="76"/>
    </row>
    <row r="1023" spans="1:5" ht="34" x14ac:dyDescent="0.2">
      <c r="A1023" s="26" t="s">
        <v>817</v>
      </c>
      <c r="B1023" s="75">
        <v>753910</v>
      </c>
      <c r="C1023" s="27" t="s">
        <v>76</v>
      </c>
      <c r="D1023" s="76" t="s">
        <v>882</v>
      </c>
      <c r="E1023" s="76"/>
    </row>
    <row r="1024" spans="1:5" ht="34" x14ac:dyDescent="0.2">
      <c r="A1024" s="26" t="s">
        <v>817</v>
      </c>
      <c r="B1024" s="75">
        <v>782139</v>
      </c>
      <c r="C1024" s="27" t="s">
        <v>76</v>
      </c>
      <c r="D1024" s="76" t="s">
        <v>883</v>
      </c>
      <c r="E1024" s="76"/>
    </row>
    <row r="1025" spans="1:5" ht="34" x14ac:dyDescent="0.2">
      <c r="A1025" s="26" t="s">
        <v>817</v>
      </c>
      <c r="B1025" s="75">
        <v>563030</v>
      </c>
      <c r="C1025" s="27" t="s">
        <v>76</v>
      </c>
      <c r="D1025" s="76" t="s">
        <v>884</v>
      </c>
      <c r="E1025" s="76"/>
    </row>
    <row r="1026" spans="1:5" ht="34" x14ac:dyDescent="0.2">
      <c r="A1026" s="26" t="s">
        <v>817</v>
      </c>
      <c r="B1026" s="75">
        <v>5019808</v>
      </c>
      <c r="C1026" s="27" t="s">
        <v>76</v>
      </c>
      <c r="D1026" s="76" t="s">
        <v>885</v>
      </c>
      <c r="E1026" s="76"/>
    </row>
    <row r="1027" spans="1:5" ht="34" x14ac:dyDescent="0.2">
      <c r="A1027" s="26" t="s">
        <v>817</v>
      </c>
      <c r="B1027" s="75">
        <v>786421</v>
      </c>
      <c r="C1027" s="27" t="s">
        <v>76</v>
      </c>
      <c r="D1027" s="76" t="s">
        <v>886</v>
      </c>
      <c r="E1027" s="76"/>
    </row>
    <row r="1028" spans="1:5" ht="34" x14ac:dyDescent="0.2">
      <c r="A1028" s="26" t="s">
        <v>817</v>
      </c>
      <c r="B1028" s="75">
        <v>765326</v>
      </c>
      <c r="C1028" s="27" t="s">
        <v>76</v>
      </c>
      <c r="D1028" s="76" t="s">
        <v>887</v>
      </c>
      <c r="E1028" s="76"/>
    </row>
    <row r="1029" spans="1:5" ht="34" x14ac:dyDescent="0.2">
      <c r="A1029" s="26" t="s">
        <v>817</v>
      </c>
      <c r="B1029" s="75">
        <v>628707</v>
      </c>
      <c r="C1029" s="27" t="s">
        <v>76</v>
      </c>
      <c r="D1029" s="76" t="s">
        <v>888</v>
      </c>
      <c r="E1029" s="76"/>
    </row>
    <row r="1030" spans="1:5" ht="34" x14ac:dyDescent="0.2">
      <c r="A1030" s="26" t="s">
        <v>817</v>
      </c>
      <c r="B1030" s="75">
        <v>628706</v>
      </c>
      <c r="C1030" s="27" t="s">
        <v>76</v>
      </c>
      <c r="D1030" s="76" t="s">
        <v>889</v>
      </c>
      <c r="E1030" s="76"/>
    </row>
    <row r="1031" spans="1:5" ht="34" x14ac:dyDescent="0.2">
      <c r="A1031" s="26" t="s">
        <v>817</v>
      </c>
      <c r="B1031" s="75">
        <v>5022347</v>
      </c>
      <c r="C1031" s="27" t="s">
        <v>76</v>
      </c>
      <c r="D1031" s="77" t="str">
        <f>HYPERLINK("https://www.linkedin.com/learning/algorithmic-trading-and-finance-models-with-python-r-and-stata-essential-training","Algorithmic Trading and Finance Models with Python, R, and Stata Essential Training")</f>
        <v>Algorithmic Trading and Finance Models with Python, R, and Stata Essential Training</v>
      </c>
      <c r="E1031" s="76"/>
    </row>
    <row r="1032" spans="1:5" ht="34" x14ac:dyDescent="0.2">
      <c r="A1032" s="26" t="s">
        <v>817</v>
      </c>
      <c r="B1032" s="75">
        <v>5040395</v>
      </c>
      <c r="C1032" s="27" t="s">
        <v>76</v>
      </c>
      <c r="D1032" s="76" t="s">
        <v>640</v>
      </c>
      <c r="E1032" s="76"/>
    </row>
    <row r="1033" spans="1:5" ht="17" x14ac:dyDescent="0.2">
      <c r="A1033" s="26" t="s">
        <v>890</v>
      </c>
      <c r="B1033" s="19" t="s">
        <v>10</v>
      </c>
      <c r="C1033" s="19" t="s">
        <v>11</v>
      </c>
      <c r="D1033" s="21" t="s">
        <v>12</v>
      </c>
      <c r="E1033" s="21" t="s">
        <v>13</v>
      </c>
    </row>
    <row r="1034" spans="1:5" ht="17" x14ac:dyDescent="0.2">
      <c r="A1034" s="26" t="s">
        <v>890</v>
      </c>
      <c r="B1034" s="22">
        <v>689761</v>
      </c>
      <c r="C1034" s="23" t="s">
        <v>14</v>
      </c>
      <c r="D1034" s="25" t="s">
        <v>99</v>
      </c>
      <c r="E1034" s="25" t="s">
        <v>891</v>
      </c>
    </row>
    <row r="1035" spans="1:5" ht="17" x14ac:dyDescent="0.2">
      <c r="A1035" s="26" t="s">
        <v>890</v>
      </c>
      <c r="B1035" s="22">
        <v>758617</v>
      </c>
      <c r="C1035" s="23" t="s">
        <v>14</v>
      </c>
      <c r="D1035" s="25" t="s">
        <v>890</v>
      </c>
      <c r="E1035" s="25" t="str">
        <f>HYPERLINK("https://www.linkedin.com/learning/paths/become-a-thought-leader","Become a Thought Leader")</f>
        <v>Become a Thought Leader</v>
      </c>
    </row>
    <row r="1036" spans="1:5" ht="17" x14ac:dyDescent="0.2">
      <c r="A1036" s="26" t="s">
        <v>890</v>
      </c>
      <c r="B1036" s="22">
        <v>602861</v>
      </c>
      <c r="C1036" s="23" t="s">
        <v>14</v>
      </c>
      <c r="D1036" s="25" t="s">
        <v>892</v>
      </c>
      <c r="E1036" s="25" t="s">
        <v>893</v>
      </c>
    </row>
    <row r="1037" spans="1:5" ht="17" x14ac:dyDescent="0.2">
      <c r="A1037" s="26" t="s">
        <v>890</v>
      </c>
      <c r="B1037" s="22">
        <v>2806194</v>
      </c>
      <c r="C1037" s="27" t="s">
        <v>14</v>
      </c>
      <c r="D1037" s="52" t="str">
        <f>HYPERLINK("https://www.linkedin.com/learning/counterintuitive-leadership-strategies-for-a-vuca-environment","Counterintuitive Leadership Strategies for a VUCA (Volatile, Uncertain, Complex, Ambiguous) Environment")</f>
        <v>Counterintuitive Leadership Strategies for a VUCA (Volatile, Uncertain, Complex, Ambiguous) Environment</v>
      </c>
      <c r="E1037" s="25" t="s">
        <v>894</v>
      </c>
    </row>
    <row r="1038" spans="1:5" ht="17" x14ac:dyDescent="0.2">
      <c r="A1038" s="26" t="s">
        <v>890</v>
      </c>
      <c r="B1038" s="22">
        <v>2873074</v>
      </c>
      <c r="C1038" s="30" t="s">
        <v>17</v>
      </c>
      <c r="D1038" s="25" t="s">
        <v>270</v>
      </c>
      <c r="E1038" s="25" t="s">
        <v>100</v>
      </c>
    </row>
    <row r="1039" spans="1:5" ht="17" x14ac:dyDescent="0.2">
      <c r="A1039" s="26" t="s">
        <v>890</v>
      </c>
      <c r="B1039" s="22">
        <v>153123</v>
      </c>
      <c r="C1039" s="30" t="s">
        <v>17</v>
      </c>
      <c r="D1039" s="25" t="s">
        <v>104</v>
      </c>
      <c r="E1039" s="25" t="str">
        <f>HYPERLINK("https://www.linkedin.com/learning/paths/women-in-leadership-3","Women in Leadership")</f>
        <v>Women in Leadership</v>
      </c>
    </row>
    <row r="1040" spans="1:5" ht="17" x14ac:dyDescent="0.2">
      <c r="A1040" s="26" t="s">
        <v>890</v>
      </c>
      <c r="B1040" s="22">
        <v>718628</v>
      </c>
      <c r="C1040" s="30" t="s">
        <v>17</v>
      </c>
      <c r="D1040" s="25" t="s">
        <v>108</v>
      </c>
      <c r="E1040" s="25" t="str">
        <f>HYPERLINK("https://www.linkedin.com/learning/paths/manage-change-and-develop-your-adaptability-skills","Manage Change and Develop Your Adaptability Skills")</f>
        <v>Manage Change and Develop Your Adaptability Skills</v>
      </c>
    </row>
    <row r="1041" spans="1:5" ht="17" x14ac:dyDescent="0.2">
      <c r="A1041" s="26" t="s">
        <v>890</v>
      </c>
      <c r="B1041" s="22">
        <v>661751</v>
      </c>
      <c r="C1041" s="27" t="s">
        <v>17</v>
      </c>
      <c r="D1041" s="25" t="s">
        <v>22</v>
      </c>
      <c r="E1041" s="25"/>
    </row>
    <row r="1042" spans="1:5" ht="17" x14ac:dyDescent="0.2">
      <c r="A1042" s="26" t="s">
        <v>890</v>
      </c>
      <c r="B1042" s="22">
        <v>5015862</v>
      </c>
      <c r="C1042" s="27" t="s">
        <v>17</v>
      </c>
      <c r="D1042" s="25" t="s">
        <v>116</v>
      </c>
      <c r="E1042" s="28"/>
    </row>
    <row r="1043" spans="1:5" ht="17" x14ac:dyDescent="0.2">
      <c r="A1043" s="26" t="s">
        <v>890</v>
      </c>
      <c r="B1043" s="22">
        <v>495346</v>
      </c>
      <c r="C1043" s="27" t="s">
        <v>17</v>
      </c>
      <c r="D1043" s="25" t="s">
        <v>107</v>
      </c>
      <c r="E1043" s="28"/>
    </row>
    <row r="1044" spans="1:5" ht="17" x14ac:dyDescent="0.2">
      <c r="A1044" s="26" t="s">
        <v>890</v>
      </c>
      <c r="B1044" s="22">
        <v>608995</v>
      </c>
      <c r="C1044" s="27" t="s">
        <v>17</v>
      </c>
      <c r="D1044" s="25" t="s">
        <v>449</v>
      </c>
      <c r="E1044" s="28"/>
    </row>
    <row r="1045" spans="1:5" ht="17" x14ac:dyDescent="0.2">
      <c r="A1045" s="26" t="s">
        <v>890</v>
      </c>
      <c r="B1045" s="22">
        <v>616671</v>
      </c>
      <c r="C1045" s="27" t="s">
        <v>17</v>
      </c>
      <c r="D1045" s="25" t="s">
        <v>895</v>
      </c>
      <c r="E1045" s="28"/>
    </row>
    <row r="1046" spans="1:5" ht="17" x14ac:dyDescent="0.2">
      <c r="A1046" s="26" t="s">
        <v>890</v>
      </c>
      <c r="B1046" s="22">
        <v>433738</v>
      </c>
      <c r="C1046" s="27" t="s">
        <v>17</v>
      </c>
      <c r="D1046" s="34" t="s">
        <v>896</v>
      </c>
      <c r="E1046" s="28"/>
    </row>
    <row r="1047" spans="1:5" ht="17" x14ac:dyDescent="0.2">
      <c r="A1047" s="26" t="s">
        <v>890</v>
      </c>
      <c r="B1047" s="22">
        <v>370569</v>
      </c>
      <c r="C1047" s="27" t="s">
        <v>17</v>
      </c>
      <c r="D1047" s="25" t="s">
        <v>257</v>
      </c>
      <c r="E1047" s="28"/>
    </row>
    <row r="1048" spans="1:5" ht="17" x14ac:dyDescent="0.2">
      <c r="A1048" s="26" t="s">
        <v>890</v>
      </c>
      <c r="B1048" s="22">
        <v>599597</v>
      </c>
      <c r="C1048" s="27" t="s">
        <v>17</v>
      </c>
      <c r="D1048" s="25" t="s">
        <v>36</v>
      </c>
      <c r="E1048" s="28"/>
    </row>
    <row r="1049" spans="1:5" ht="17" x14ac:dyDescent="0.2">
      <c r="A1049" s="26" t="s">
        <v>890</v>
      </c>
      <c r="B1049" s="22">
        <v>2807858</v>
      </c>
      <c r="C1049" s="27" t="s">
        <v>17</v>
      </c>
      <c r="D1049" s="25" t="s">
        <v>260</v>
      </c>
      <c r="E1049" s="28"/>
    </row>
    <row r="1050" spans="1:5" ht="17" x14ac:dyDescent="0.2">
      <c r="A1050" s="26" t="s">
        <v>890</v>
      </c>
      <c r="B1050" s="22">
        <v>2810166</v>
      </c>
      <c r="C1050" s="27" t="s">
        <v>17</v>
      </c>
      <c r="D1050" s="25" t="s">
        <v>897</v>
      </c>
      <c r="E1050" s="28"/>
    </row>
    <row r="1051" spans="1:5" ht="17" x14ac:dyDescent="0.2">
      <c r="A1051" s="26" t="s">
        <v>890</v>
      </c>
      <c r="B1051" s="22">
        <v>2814148</v>
      </c>
      <c r="C1051" s="27" t="s">
        <v>17</v>
      </c>
      <c r="D1051" s="25" t="s">
        <v>455</v>
      </c>
      <c r="E1051" s="28"/>
    </row>
    <row r="1052" spans="1:5" ht="17" x14ac:dyDescent="0.2">
      <c r="A1052" s="26" t="s">
        <v>890</v>
      </c>
      <c r="B1052" s="22">
        <v>2819181</v>
      </c>
      <c r="C1052" s="27" t="s">
        <v>17</v>
      </c>
      <c r="D1052" s="25" t="s">
        <v>898</v>
      </c>
      <c r="E1052" s="28"/>
    </row>
    <row r="1053" spans="1:5" ht="17" x14ac:dyDescent="0.2">
      <c r="A1053" s="26" t="s">
        <v>890</v>
      </c>
      <c r="B1053" s="22">
        <v>2825404</v>
      </c>
      <c r="C1053" s="27" t="s">
        <v>17</v>
      </c>
      <c r="D1053" s="25" t="s">
        <v>899</v>
      </c>
      <c r="E1053" s="28"/>
    </row>
    <row r="1054" spans="1:5" ht="17" x14ac:dyDescent="0.2">
      <c r="A1054" s="26" t="s">
        <v>890</v>
      </c>
      <c r="B1054" s="22">
        <v>2825405</v>
      </c>
      <c r="C1054" s="27" t="s">
        <v>17</v>
      </c>
      <c r="D1054" s="25" t="s">
        <v>900</v>
      </c>
      <c r="E1054" s="28"/>
    </row>
    <row r="1055" spans="1:5" ht="17" x14ac:dyDescent="0.2">
      <c r="A1055" s="26" t="s">
        <v>890</v>
      </c>
      <c r="B1055" s="22">
        <v>2848273</v>
      </c>
      <c r="C1055" s="27" t="s">
        <v>17</v>
      </c>
      <c r="D1055" s="25" t="s">
        <v>901</v>
      </c>
      <c r="E1055" s="28"/>
    </row>
    <row r="1056" spans="1:5" ht="17" x14ac:dyDescent="0.2">
      <c r="A1056" s="26" t="s">
        <v>890</v>
      </c>
      <c r="B1056" s="22">
        <v>2815033</v>
      </c>
      <c r="C1056" s="27" t="s">
        <v>70</v>
      </c>
      <c r="D1056" s="25" t="s">
        <v>119</v>
      </c>
      <c r="E1056" s="28"/>
    </row>
    <row r="1057" spans="1:5" ht="17" x14ac:dyDescent="0.2">
      <c r="A1057" s="26" t="s">
        <v>890</v>
      </c>
      <c r="B1057" s="22">
        <v>2808538</v>
      </c>
      <c r="C1057" s="27" t="s">
        <v>70</v>
      </c>
      <c r="D1057" s="25" t="s">
        <v>902</v>
      </c>
      <c r="E1057" s="28"/>
    </row>
    <row r="1058" spans="1:5" ht="17" x14ac:dyDescent="0.2">
      <c r="A1058" s="26" t="s">
        <v>890</v>
      </c>
      <c r="B1058" s="22">
        <v>585010</v>
      </c>
      <c r="C1058" s="30" t="s">
        <v>70</v>
      </c>
      <c r="D1058" s="25" t="s">
        <v>467</v>
      </c>
      <c r="E1058" s="28"/>
    </row>
    <row r="1059" spans="1:5" ht="17" x14ac:dyDescent="0.2">
      <c r="A1059" s="26" t="s">
        <v>890</v>
      </c>
      <c r="B1059" s="22">
        <v>659269</v>
      </c>
      <c r="C1059" s="30" t="s">
        <v>70</v>
      </c>
      <c r="D1059" s="25" t="s">
        <v>122</v>
      </c>
      <c r="E1059" s="28"/>
    </row>
    <row r="1060" spans="1:5" ht="17" x14ac:dyDescent="0.2">
      <c r="A1060" s="26" t="s">
        <v>890</v>
      </c>
      <c r="B1060" s="22">
        <v>2835013</v>
      </c>
      <c r="C1060" s="30" t="s">
        <v>70</v>
      </c>
      <c r="D1060" s="25" t="s">
        <v>903</v>
      </c>
      <c r="E1060" s="28"/>
    </row>
    <row r="1061" spans="1:5" ht="17" x14ac:dyDescent="0.2">
      <c r="A1061" s="26" t="s">
        <v>890</v>
      </c>
      <c r="B1061" s="22">
        <v>2241053</v>
      </c>
      <c r="C1061" s="30" t="s">
        <v>84</v>
      </c>
      <c r="D1061" s="25" t="s">
        <v>904</v>
      </c>
      <c r="E1061" s="28"/>
    </row>
    <row r="1062" spans="1:5" ht="17" x14ac:dyDescent="0.2">
      <c r="A1062" s="26" t="s">
        <v>890</v>
      </c>
      <c r="B1062" s="22">
        <v>2242045</v>
      </c>
      <c r="C1062" s="30" t="s">
        <v>84</v>
      </c>
      <c r="D1062" s="25" t="s">
        <v>905</v>
      </c>
      <c r="E1062" s="28"/>
    </row>
    <row r="1063" spans="1:5" ht="17" x14ac:dyDescent="0.2">
      <c r="A1063" s="26" t="s">
        <v>890</v>
      </c>
      <c r="B1063" s="22">
        <v>2243048</v>
      </c>
      <c r="C1063" s="30" t="s">
        <v>84</v>
      </c>
      <c r="D1063" s="25" t="s">
        <v>906</v>
      </c>
      <c r="E1063" s="28"/>
    </row>
    <row r="1064" spans="1:5" ht="17" x14ac:dyDescent="0.2">
      <c r="A1064" s="26" t="s">
        <v>890</v>
      </c>
      <c r="B1064" s="22">
        <v>2813223</v>
      </c>
      <c r="C1064" s="30" t="s">
        <v>84</v>
      </c>
      <c r="D1064" s="25" t="s">
        <v>471</v>
      </c>
      <c r="E1064" s="28"/>
    </row>
    <row r="1065" spans="1:5" ht="17" x14ac:dyDescent="0.2">
      <c r="A1065" s="26" t="s">
        <v>890</v>
      </c>
      <c r="B1065" s="22">
        <v>2825691</v>
      </c>
      <c r="C1065" s="30" t="s">
        <v>84</v>
      </c>
      <c r="D1065" s="25" t="s">
        <v>907</v>
      </c>
      <c r="E1065" s="28"/>
    </row>
    <row r="1066" spans="1:5" ht="17" x14ac:dyDescent="0.2">
      <c r="A1066" s="26" t="s">
        <v>890</v>
      </c>
      <c r="B1066" s="22">
        <v>2825458</v>
      </c>
      <c r="C1066" s="30" t="s">
        <v>84</v>
      </c>
      <c r="D1066" s="25" t="s">
        <v>908</v>
      </c>
      <c r="E1066" s="28"/>
    </row>
    <row r="1067" spans="1:5" ht="17" x14ac:dyDescent="0.2">
      <c r="A1067" s="26" t="s">
        <v>890</v>
      </c>
      <c r="B1067" s="22">
        <v>2809355</v>
      </c>
      <c r="C1067" s="30" t="s">
        <v>84</v>
      </c>
      <c r="D1067" s="25" t="s">
        <v>283</v>
      </c>
      <c r="E1067" s="28"/>
    </row>
    <row r="1068" spans="1:5" ht="17" x14ac:dyDescent="0.2">
      <c r="A1068" s="26" t="s">
        <v>890</v>
      </c>
      <c r="B1068" s="22">
        <v>2811712</v>
      </c>
      <c r="C1068" s="30" t="s">
        <v>84</v>
      </c>
      <c r="D1068" s="25" t="s">
        <v>111</v>
      </c>
      <c r="E1068" s="28"/>
    </row>
    <row r="1069" spans="1:5" ht="17" x14ac:dyDescent="0.2">
      <c r="A1069" s="26" t="s">
        <v>890</v>
      </c>
      <c r="B1069" s="22">
        <v>2839077</v>
      </c>
      <c r="C1069" s="30" t="s">
        <v>84</v>
      </c>
      <c r="D1069" s="25" t="s">
        <v>909</v>
      </c>
      <c r="E1069" s="28"/>
    </row>
    <row r="1070" spans="1:5" ht="17" x14ac:dyDescent="0.2">
      <c r="A1070" s="26" t="s">
        <v>890</v>
      </c>
      <c r="B1070" s="22">
        <v>2864030</v>
      </c>
      <c r="C1070" s="30" t="s">
        <v>84</v>
      </c>
      <c r="D1070" s="25" t="s">
        <v>910</v>
      </c>
      <c r="E1070" s="28"/>
    </row>
    <row r="1071" spans="1:5" ht="17" x14ac:dyDescent="0.2">
      <c r="A1071" s="26" t="s">
        <v>890</v>
      </c>
      <c r="B1071" s="22">
        <v>2848235</v>
      </c>
      <c r="C1071" s="30" t="s">
        <v>84</v>
      </c>
      <c r="D1071" s="25" t="s">
        <v>911</v>
      </c>
      <c r="E1071" s="28"/>
    </row>
    <row r="1072" spans="1:5" ht="17" x14ac:dyDescent="0.2">
      <c r="A1072" s="26" t="s">
        <v>890</v>
      </c>
      <c r="B1072" s="22">
        <v>2849189</v>
      </c>
      <c r="C1072" s="30" t="s">
        <v>84</v>
      </c>
      <c r="D1072" s="48" t="s">
        <v>912</v>
      </c>
      <c r="E1072" s="28"/>
    </row>
    <row r="1073" spans="1:5" ht="17" x14ac:dyDescent="0.2">
      <c r="A1073" s="26" t="s">
        <v>890</v>
      </c>
      <c r="B1073" s="22">
        <v>2849190</v>
      </c>
      <c r="C1073" s="30" t="s">
        <v>84</v>
      </c>
      <c r="D1073" s="25" t="s">
        <v>913</v>
      </c>
      <c r="E1073" s="28"/>
    </row>
    <row r="1074" spans="1:5" ht="17" x14ac:dyDescent="0.2">
      <c r="A1074" s="26" t="s">
        <v>890</v>
      </c>
      <c r="B1074" s="22">
        <v>2833088</v>
      </c>
      <c r="C1074" s="30" t="s">
        <v>84</v>
      </c>
      <c r="D1074" s="25" t="s">
        <v>914</v>
      </c>
      <c r="E1074" s="28"/>
    </row>
    <row r="1075" spans="1:5" ht="17" x14ac:dyDescent="0.2">
      <c r="A1075" s="26" t="s">
        <v>890</v>
      </c>
      <c r="B1075" s="22">
        <v>2833004</v>
      </c>
      <c r="C1075" s="30" t="s">
        <v>84</v>
      </c>
      <c r="D1075" s="25" t="s">
        <v>96</v>
      </c>
      <c r="E1075" s="28"/>
    </row>
    <row r="1076" spans="1:5" ht="17" x14ac:dyDescent="0.2">
      <c r="A1076" s="26" t="s">
        <v>890</v>
      </c>
      <c r="B1076" s="22">
        <v>699331</v>
      </c>
      <c r="C1076" s="82" t="s">
        <v>76</v>
      </c>
      <c r="D1076" s="25" t="s">
        <v>133</v>
      </c>
      <c r="E1076" s="28"/>
    </row>
    <row r="1077" spans="1:5" ht="17" x14ac:dyDescent="0.2">
      <c r="A1077" s="26" t="s">
        <v>890</v>
      </c>
      <c r="B1077" s="22">
        <v>5010646</v>
      </c>
      <c r="C1077" s="82" t="s">
        <v>76</v>
      </c>
      <c r="D1077" s="25" t="s">
        <v>77</v>
      </c>
      <c r="E1077" s="28"/>
    </row>
    <row r="1078" spans="1:5" ht="17" x14ac:dyDescent="0.2">
      <c r="A1078" s="26" t="s">
        <v>890</v>
      </c>
      <c r="B1078" s="22">
        <v>456826</v>
      </c>
      <c r="C1078" s="27" t="s">
        <v>76</v>
      </c>
      <c r="D1078" s="25" t="s">
        <v>128</v>
      </c>
      <c r="E1078" s="28"/>
    </row>
    <row r="1079" spans="1:5" ht="17" x14ac:dyDescent="0.2">
      <c r="A1079" s="26" t="s">
        <v>890</v>
      </c>
      <c r="B1079" s="22">
        <v>580624</v>
      </c>
      <c r="C1079" s="27" t="s">
        <v>76</v>
      </c>
      <c r="D1079" s="25" t="s">
        <v>130</v>
      </c>
      <c r="E1079" s="28"/>
    </row>
    <row r="1080" spans="1:5" ht="17" x14ac:dyDescent="0.2">
      <c r="A1080" s="26" t="s">
        <v>890</v>
      </c>
      <c r="B1080" s="22">
        <v>718627</v>
      </c>
      <c r="C1080" s="82" t="s">
        <v>76</v>
      </c>
      <c r="D1080" s="25" t="s">
        <v>181</v>
      </c>
      <c r="E1080" s="28"/>
    </row>
    <row r="1081" spans="1:5" ht="17" x14ac:dyDescent="0.2">
      <c r="A1081" s="26" t="s">
        <v>890</v>
      </c>
      <c r="B1081" s="22">
        <v>5022327</v>
      </c>
      <c r="C1081" s="27" t="s">
        <v>76</v>
      </c>
      <c r="D1081" s="25" t="s">
        <v>139</v>
      </c>
      <c r="E1081" s="28"/>
    </row>
    <row r="1082" spans="1:5" ht="17" x14ac:dyDescent="0.2">
      <c r="A1082" s="26" t="s">
        <v>890</v>
      </c>
      <c r="B1082" s="22">
        <v>711796</v>
      </c>
      <c r="C1082" s="27" t="s">
        <v>76</v>
      </c>
      <c r="D1082" s="25" t="s">
        <v>134</v>
      </c>
      <c r="E1082" s="28"/>
    </row>
    <row r="1083" spans="1:5" ht="17" x14ac:dyDescent="0.2">
      <c r="A1083" s="26" t="s">
        <v>890</v>
      </c>
      <c r="B1083" s="22">
        <v>520220</v>
      </c>
      <c r="C1083" s="27" t="s">
        <v>76</v>
      </c>
      <c r="D1083" s="25" t="s">
        <v>129</v>
      </c>
      <c r="E1083" s="28"/>
    </row>
    <row r="1084" spans="1:5" ht="17" x14ac:dyDescent="0.2">
      <c r="A1084" s="26" t="s">
        <v>890</v>
      </c>
      <c r="B1084" s="22">
        <v>420309</v>
      </c>
      <c r="C1084" s="82" t="s">
        <v>76</v>
      </c>
      <c r="D1084" s="25" t="s">
        <v>915</v>
      </c>
      <c r="E1084" s="28"/>
    </row>
    <row r="1085" spans="1:5" ht="17" x14ac:dyDescent="0.2">
      <c r="A1085" s="26" t="s">
        <v>890</v>
      </c>
      <c r="B1085" s="22">
        <v>431182</v>
      </c>
      <c r="C1085" s="82" t="s">
        <v>76</v>
      </c>
      <c r="D1085" s="25" t="s">
        <v>916</v>
      </c>
      <c r="E1085" s="28"/>
    </row>
    <row r="1086" spans="1:5" ht="17" x14ac:dyDescent="0.2">
      <c r="A1086" s="26" t="s">
        <v>890</v>
      </c>
      <c r="B1086" s="22">
        <v>2814066</v>
      </c>
      <c r="C1086" s="27" t="s">
        <v>76</v>
      </c>
      <c r="D1086" s="25" t="s">
        <v>299</v>
      </c>
      <c r="E1086" s="28"/>
    </row>
    <row r="1087" spans="1:5" ht="17" x14ac:dyDescent="0.2">
      <c r="A1087" s="26" t="s">
        <v>890</v>
      </c>
      <c r="B1087" s="22">
        <v>2813183</v>
      </c>
      <c r="C1087" s="27" t="s">
        <v>76</v>
      </c>
      <c r="D1087" s="25" t="s">
        <v>917</v>
      </c>
      <c r="E1087" s="28"/>
    </row>
    <row r="1088" spans="1:5" ht="17" x14ac:dyDescent="0.2">
      <c r="A1088" s="26" t="s">
        <v>890</v>
      </c>
      <c r="B1088" s="22">
        <v>2823041</v>
      </c>
      <c r="C1088" s="27" t="s">
        <v>76</v>
      </c>
      <c r="D1088" s="25" t="s">
        <v>918</v>
      </c>
      <c r="E1088" s="28"/>
    </row>
    <row r="1089" spans="1:5" ht="17" x14ac:dyDescent="0.2">
      <c r="A1089" s="26" t="s">
        <v>890</v>
      </c>
      <c r="B1089" s="22">
        <v>2836015</v>
      </c>
      <c r="C1089" s="27" t="s">
        <v>76</v>
      </c>
      <c r="D1089" s="25" t="s">
        <v>919</v>
      </c>
      <c r="E1089" s="28"/>
    </row>
    <row r="1090" spans="1:5" ht="17" x14ac:dyDescent="0.2">
      <c r="A1090" s="26" t="s">
        <v>890</v>
      </c>
      <c r="B1090" s="22">
        <v>2838146</v>
      </c>
      <c r="C1090" s="27" t="s">
        <v>76</v>
      </c>
      <c r="D1090" s="25" t="s">
        <v>920</v>
      </c>
      <c r="E1090" s="28"/>
    </row>
    <row r="1091" spans="1:5" ht="34" x14ac:dyDescent="0.2">
      <c r="A1091" s="83" t="s">
        <v>921</v>
      </c>
      <c r="B1091" s="19" t="s">
        <v>10</v>
      </c>
      <c r="C1091" s="19" t="s">
        <v>11</v>
      </c>
      <c r="D1091" s="21" t="s">
        <v>12</v>
      </c>
      <c r="E1091" s="21" t="s">
        <v>13</v>
      </c>
    </row>
    <row r="1092" spans="1:5" ht="34" x14ac:dyDescent="0.2">
      <c r="A1092" s="83" t="s">
        <v>921</v>
      </c>
      <c r="B1092" s="22">
        <v>2806194</v>
      </c>
      <c r="C1092" s="27" t="s">
        <v>14</v>
      </c>
      <c r="D1092" s="52" t="str">
        <f>HYPERLINK("https://www.linkedin.com/learning/counterintuitive-leadership-strategies-for-a-vuca-environment","Counterintuitive Leadership Strategies for a VUCA (Volatile, Uncertain, Complex, Ambiguous) Environment")</f>
        <v>Counterintuitive Leadership Strategies for a VUCA (Volatile, Uncertain, Complex, Ambiguous) Environment</v>
      </c>
      <c r="E1092" s="52" t="s">
        <v>922</v>
      </c>
    </row>
    <row r="1093" spans="1:5" ht="34" x14ac:dyDescent="0.2">
      <c r="A1093" s="83" t="s">
        <v>921</v>
      </c>
      <c r="B1093" s="22">
        <v>758617</v>
      </c>
      <c r="C1093" s="27" t="s">
        <v>14</v>
      </c>
      <c r="D1093" s="25" t="s">
        <v>890</v>
      </c>
      <c r="E1093" s="25" t="s">
        <v>923</v>
      </c>
    </row>
    <row r="1094" spans="1:5" ht="34" x14ac:dyDescent="0.2">
      <c r="A1094" s="83" t="s">
        <v>921</v>
      </c>
      <c r="B1094" s="22">
        <v>685023</v>
      </c>
      <c r="C1094" s="27" t="s">
        <v>14</v>
      </c>
      <c r="D1094" s="25" t="s">
        <v>924</v>
      </c>
      <c r="E1094" s="52" t="str">
        <f>HYPERLINK("https://www.linkedin.com/learning/paths/become-a-thought-leader","Become a Thought Leader")</f>
        <v>Become a Thought Leader</v>
      </c>
    </row>
    <row r="1095" spans="1:5" ht="34" x14ac:dyDescent="0.2">
      <c r="A1095" s="26" t="s">
        <v>921</v>
      </c>
      <c r="B1095" s="22">
        <v>2809356</v>
      </c>
      <c r="C1095" s="27" t="s">
        <v>14</v>
      </c>
      <c r="D1095" s="25" t="s">
        <v>925</v>
      </c>
      <c r="E1095" s="25" t="s">
        <v>199</v>
      </c>
    </row>
    <row r="1096" spans="1:5" ht="34" x14ac:dyDescent="0.2">
      <c r="A1096" s="26" t="s">
        <v>921</v>
      </c>
      <c r="B1096" s="22">
        <v>2822090</v>
      </c>
      <c r="C1096" s="27" t="s">
        <v>14</v>
      </c>
      <c r="D1096" s="25" t="s">
        <v>926</v>
      </c>
      <c r="E1096" s="25" t="s">
        <v>927</v>
      </c>
    </row>
    <row r="1097" spans="1:5" ht="34" x14ac:dyDescent="0.2">
      <c r="A1097" s="26" t="s">
        <v>921</v>
      </c>
      <c r="B1097" s="22">
        <v>2833088</v>
      </c>
      <c r="C1097" s="27" t="s">
        <v>14</v>
      </c>
      <c r="D1097" s="25" t="s">
        <v>914</v>
      </c>
      <c r="E1097" s="52" t="str">
        <f>HYPERLINK("https://www.linkedin.com/learning/paths/master-in-demand-skills-for-technology-leadership","Master In-Demand Skills for Technology Leadership")</f>
        <v>Master In-Demand Skills for Technology Leadership</v>
      </c>
    </row>
    <row r="1098" spans="1:5" ht="34" x14ac:dyDescent="0.2">
      <c r="A1098" s="83" t="s">
        <v>921</v>
      </c>
      <c r="B1098" s="22">
        <v>2823579</v>
      </c>
      <c r="C1098" s="27" t="s">
        <v>14</v>
      </c>
      <c r="D1098" s="25" t="s">
        <v>127</v>
      </c>
      <c r="E1098" s="52" t="str">
        <f>HYPERLINK("https://www.linkedin.com/learning/paths/remote-working-setting-yourself-and-your-teams-up-for-success","Remote Working: Setting Yourself and Your Teams Up for Success")</f>
        <v>Remote Working: Setting Yourself and Your Teams Up for Success</v>
      </c>
    </row>
    <row r="1099" spans="1:5" ht="34" x14ac:dyDescent="0.2">
      <c r="A1099" s="83" t="s">
        <v>921</v>
      </c>
      <c r="B1099" s="22">
        <v>2831004</v>
      </c>
      <c r="C1099" s="30" t="s">
        <v>14</v>
      </c>
      <c r="D1099" s="25" t="s">
        <v>928</v>
      </c>
      <c r="E1099" s="52" t="str">
        <f>HYPERLINK("https://www.linkedin.com/learning/paths/diversity-inclusion-and-belonging-for-leaders-and-managers","Diversity, Inclusion, and Belonging for Leaders and Managers")</f>
        <v>Diversity, Inclusion, and Belonging for Leaders and Managers</v>
      </c>
    </row>
    <row r="1100" spans="1:5" ht="34" x14ac:dyDescent="0.2">
      <c r="A1100" s="83" t="s">
        <v>921</v>
      </c>
      <c r="B1100" s="22">
        <v>2974329</v>
      </c>
      <c r="C1100" s="30" t="s">
        <v>17</v>
      </c>
      <c r="D1100" s="25" t="s">
        <v>274</v>
      </c>
      <c r="E1100" s="52" t="s">
        <v>922</v>
      </c>
    </row>
    <row r="1101" spans="1:5" ht="34" x14ac:dyDescent="0.2">
      <c r="A1101" s="83" t="s">
        <v>921</v>
      </c>
      <c r="B1101" s="22">
        <v>512773</v>
      </c>
      <c r="C1101" s="27" t="s">
        <v>17</v>
      </c>
      <c r="D1101" s="52" t="str">
        <f>HYPERLINK("https://www.linkedin.com/learning/bill-george-on-self-awareness-authenticity-and-leadership","Bill George on Self-Awareness, Authenticity, and Leadership")</f>
        <v>Bill George on Self-Awareness, Authenticity, and Leadership</v>
      </c>
      <c r="E1101" s="28"/>
    </row>
    <row r="1102" spans="1:5" ht="34" x14ac:dyDescent="0.2">
      <c r="A1102" s="83" t="s">
        <v>921</v>
      </c>
      <c r="B1102" s="22">
        <v>2809355</v>
      </c>
      <c r="C1102" s="27" t="s">
        <v>17</v>
      </c>
      <c r="D1102" s="25" t="s">
        <v>283</v>
      </c>
    </row>
    <row r="1103" spans="1:5" ht="34" x14ac:dyDescent="0.2">
      <c r="A1103" s="83" t="s">
        <v>921</v>
      </c>
      <c r="B1103" s="22">
        <v>5034158</v>
      </c>
      <c r="C1103" s="27" t="s">
        <v>17</v>
      </c>
      <c r="D1103" s="25" t="s">
        <v>929</v>
      </c>
    </row>
    <row r="1104" spans="1:5" ht="34" x14ac:dyDescent="0.2">
      <c r="A1104" s="83" t="s">
        <v>921</v>
      </c>
      <c r="B1104" s="22">
        <v>651185</v>
      </c>
      <c r="C1104" s="27" t="s">
        <v>17</v>
      </c>
      <c r="D1104" s="25" t="s">
        <v>930</v>
      </c>
      <c r="E1104" s="28"/>
    </row>
    <row r="1105" spans="1:5" ht="34" x14ac:dyDescent="0.2">
      <c r="A1105" s="83" t="s">
        <v>921</v>
      </c>
      <c r="B1105" s="22">
        <v>458640</v>
      </c>
      <c r="C1105" s="27" t="s">
        <v>17</v>
      </c>
      <c r="D1105" s="25" t="s">
        <v>27</v>
      </c>
      <c r="E1105" s="28"/>
    </row>
    <row r="1106" spans="1:5" ht="34" x14ac:dyDescent="0.2">
      <c r="A1106" s="83" t="s">
        <v>921</v>
      </c>
      <c r="B1106" s="22">
        <v>564548</v>
      </c>
      <c r="C1106" s="27" t="s">
        <v>17</v>
      </c>
      <c r="D1106" s="25" t="s">
        <v>313</v>
      </c>
      <c r="E1106" s="28"/>
    </row>
    <row r="1107" spans="1:5" ht="34" x14ac:dyDescent="0.2">
      <c r="A1107" s="83" t="s">
        <v>921</v>
      </c>
      <c r="B1107" s="22">
        <v>696872</v>
      </c>
      <c r="C1107" s="27" t="s">
        <v>17</v>
      </c>
      <c r="D1107" s="25" t="s">
        <v>931</v>
      </c>
      <c r="E1107" s="28"/>
    </row>
    <row r="1108" spans="1:5" ht="34" x14ac:dyDescent="0.2">
      <c r="A1108" s="83" t="s">
        <v>921</v>
      </c>
      <c r="B1108" s="22">
        <v>802830</v>
      </c>
      <c r="C1108" s="27" t="s">
        <v>17</v>
      </c>
      <c r="D1108" s="34" t="s">
        <v>932</v>
      </c>
      <c r="E1108" s="28"/>
    </row>
    <row r="1109" spans="1:5" ht="34" x14ac:dyDescent="0.2">
      <c r="A1109" s="83" t="s">
        <v>921</v>
      </c>
      <c r="B1109" s="22">
        <v>689764</v>
      </c>
      <c r="C1109" s="27" t="s">
        <v>17</v>
      </c>
      <c r="D1109" s="52" t="str">
        <f>HYPERLINK("https://www.linkedin.com/learning/leadership-stories-weekly","Leadership Stories: 5-Minute Lessons in Leading People")</f>
        <v>Leadership Stories: 5-Minute Lessons in Leading People</v>
      </c>
      <c r="E1109" s="28"/>
    </row>
    <row r="1110" spans="1:5" ht="34" x14ac:dyDescent="0.2">
      <c r="A1110" s="83" t="s">
        <v>921</v>
      </c>
      <c r="B1110" s="22">
        <v>721910</v>
      </c>
      <c r="C1110" s="27" t="s">
        <v>17</v>
      </c>
      <c r="D1110" s="25" t="s">
        <v>933</v>
      </c>
      <c r="E1110" s="28"/>
    </row>
    <row r="1111" spans="1:5" ht="34" x14ac:dyDescent="0.2">
      <c r="A1111" s="83" t="s">
        <v>921</v>
      </c>
      <c r="B1111" s="22">
        <v>5022323</v>
      </c>
      <c r="C1111" s="27" t="s">
        <v>17</v>
      </c>
      <c r="D1111" s="25" t="s">
        <v>934</v>
      </c>
      <c r="E1111" s="28"/>
    </row>
    <row r="1112" spans="1:5" ht="34" x14ac:dyDescent="0.2">
      <c r="A1112" s="83" t="s">
        <v>921</v>
      </c>
      <c r="B1112" s="22">
        <v>585228</v>
      </c>
      <c r="C1112" s="27" t="s">
        <v>17</v>
      </c>
      <c r="D1112" s="25" t="s">
        <v>935</v>
      </c>
      <c r="E1112" s="28"/>
    </row>
    <row r="1113" spans="1:5" ht="34" x14ac:dyDescent="0.2">
      <c r="A1113" s="83" t="s">
        <v>921</v>
      </c>
      <c r="B1113" s="22">
        <v>645018</v>
      </c>
      <c r="C1113" s="27" t="s">
        <v>17</v>
      </c>
      <c r="D1113" s="25" t="s">
        <v>936</v>
      </c>
      <c r="E1113" s="28"/>
    </row>
    <row r="1114" spans="1:5" ht="34" x14ac:dyDescent="0.2">
      <c r="A1114" s="83" t="s">
        <v>921</v>
      </c>
      <c r="B1114" s="22">
        <v>518758</v>
      </c>
      <c r="C1114" s="27" t="s">
        <v>17</v>
      </c>
      <c r="D1114" s="25" t="s">
        <v>937</v>
      </c>
      <c r="E1114" s="28"/>
    </row>
    <row r="1115" spans="1:5" ht="34" x14ac:dyDescent="0.2">
      <c r="A1115" s="83" t="s">
        <v>921</v>
      </c>
      <c r="B1115" s="22">
        <v>2805907</v>
      </c>
      <c r="C1115" s="27" t="s">
        <v>17</v>
      </c>
      <c r="D1115" s="25" t="s">
        <v>259</v>
      </c>
      <c r="E1115" s="28"/>
    </row>
    <row r="1116" spans="1:5" ht="34" x14ac:dyDescent="0.2">
      <c r="A1116" s="83" t="s">
        <v>921</v>
      </c>
      <c r="B1116" s="22">
        <v>2807859</v>
      </c>
      <c r="C1116" s="27" t="s">
        <v>17</v>
      </c>
      <c r="D1116" s="25" t="s">
        <v>261</v>
      </c>
      <c r="E1116" s="28"/>
    </row>
    <row r="1117" spans="1:5" ht="34" x14ac:dyDescent="0.2">
      <c r="A1117" s="83" t="s">
        <v>921</v>
      </c>
      <c r="B1117" s="22">
        <v>2813255</v>
      </c>
      <c r="C1117" s="27" t="s">
        <v>17</v>
      </c>
      <c r="D1117" s="25" t="s">
        <v>938</v>
      </c>
      <c r="E1117" s="28"/>
    </row>
    <row r="1118" spans="1:5" ht="34" x14ac:dyDescent="0.2">
      <c r="A1118" s="83" t="s">
        <v>921</v>
      </c>
      <c r="B1118" s="22">
        <v>2820052</v>
      </c>
      <c r="C1118" s="27" t="s">
        <v>17</v>
      </c>
      <c r="D1118" s="25" t="s">
        <v>939</v>
      </c>
      <c r="E1118" s="28"/>
    </row>
    <row r="1119" spans="1:5" ht="34" x14ac:dyDescent="0.2">
      <c r="A1119" s="83" t="s">
        <v>921</v>
      </c>
      <c r="B1119" s="22">
        <v>2823296</v>
      </c>
      <c r="C1119" s="27" t="s">
        <v>17</v>
      </c>
      <c r="D1119" s="25" t="s">
        <v>940</v>
      </c>
      <c r="E1119" s="28"/>
    </row>
    <row r="1120" spans="1:5" ht="34" x14ac:dyDescent="0.2">
      <c r="A1120" s="83" t="s">
        <v>921</v>
      </c>
      <c r="B1120" s="22">
        <v>2823297</v>
      </c>
      <c r="C1120" s="27" t="s">
        <v>17</v>
      </c>
      <c r="D1120" s="25" t="s">
        <v>155</v>
      </c>
      <c r="E1120" s="28"/>
    </row>
    <row r="1121" spans="1:5" ht="34" x14ac:dyDescent="0.2">
      <c r="A1121" s="83" t="s">
        <v>921</v>
      </c>
      <c r="B1121" s="22">
        <v>2822456</v>
      </c>
      <c r="C1121" s="27" t="s">
        <v>17</v>
      </c>
      <c r="D1121" s="25" t="s">
        <v>941</v>
      </c>
      <c r="E1121" s="28"/>
    </row>
    <row r="1122" spans="1:5" ht="34" x14ac:dyDescent="0.2">
      <c r="A1122" s="83" t="s">
        <v>921</v>
      </c>
      <c r="B1122" s="22">
        <v>2297061</v>
      </c>
      <c r="C1122" s="27" t="s">
        <v>17</v>
      </c>
      <c r="D1122" s="25" t="s">
        <v>942</v>
      </c>
      <c r="E1122" s="28"/>
    </row>
    <row r="1123" spans="1:5" ht="34" x14ac:dyDescent="0.2">
      <c r="A1123" s="26" t="s">
        <v>921</v>
      </c>
      <c r="B1123" s="22">
        <v>2974166</v>
      </c>
      <c r="C1123" s="27" t="s">
        <v>17</v>
      </c>
      <c r="D1123" s="25" t="s">
        <v>943</v>
      </c>
      <c r="E1123" s="28"/>
    </row>
    <row r="1124" spans="1:5" ht="34" x14ac:dyDescent="0.2">
      <c r="A1124" s="26" t="s">
        <v>921</v>
      </c>
      <c r="B1124" s="22">
        <v>2974167</v>
      </c>
      <c r="C1124" s="27" t="s">
        <v>17</v>
      </c>
      <c r="D1124" s="25" t="s">
        <v>143</v>
      </c>
      <c r="E1124" s="28"/>
    </row>
    <row r="1125" spans="1:5" ht="34" x14ac:dyDescent="0.2">
      <c r="A1125" s="83" t="s">
        <v>921</v>
      </c>
      <c r="B1125" s="22">
        <v>2864190</v>
      </c>
      <c r="C1125" s="27" t="s">
        <v>17</v>
      </c>
      <c r="D1125" s="25" t="s">
        <v>944</v>
      </c>
      <c r="E1125" s="28"/>
    </row>
    <row r="1126" spans="1:5" ht="34" x14ac:dyDescent="0.2">
      <c r="A1126" s="83" t="s">
        <v>921</v>
      </c>
      <c r="B1126" s="22">
        <v>2825698</v>
      </c>
      <c r="C1126" s="27" t="s">
        <v>17</v>
      </c>
      <c r="D1126" s="25" t="s">
        <v>945</v>
      </c>
      <c r="E1126" s="28"/>
    </row>
    <row r="1127" spans="1:5" ht="34" x14ac:dyDescent="0.2">
      <c r="A1127" s="83" t="s">
        <v>921</v>
      </c>
      <c r="B1127" s="22">
        <v>2834000</v>
      </c>
      <c r="C1127" s="27" t="s">
        <v>17</v>
      </c>
      <c r="D1127" s="25" t="s">
        <v>946</v>
      </c>
      <c r="E1127" s="28"/>
    </row>
    <row r="1128" spans="1:5" ht="34" x14ac:dyDescent="0.2">
      <c r="A1128" s="83" t="s">
        <v>921</v>
      </c>
      <c r="B1128" s="22">
        <v>756283</v>
      </c>
      <c r="C1128" s="51" t="s">
        <v>70</v>
      </c>
      <c r="D1128" s="25" t="s">
        <v>947</v>
      </c>
      <c r="E1128" s="28"/>
    </row>
    <row r="1129" spans="1:5" ht="34" x14ac:dyDescent="0.2">
      <c r="A1129" s="83" t="s">
        <v>921</v>
      </c>
      <c r="B1129" s="22">
        <v>585010</v>
      </c>
      <c r="C1129" s="30" t="s">
        <v>70</v>
      </c>
      <c r="D1129" s="25" t="s">
        <v>467</v>
      </c>
      <c r="E1129" s="28"/>
    </row>
    <row r="1130" spans="1:5" ht="34" x14ac:dyDescent="0.2">
      <c r="A1130" s="83" t="s">
        <v>921</v>
      </c>
      <c r="B1130" s="22">
        <v>777382</v>
      </c>
      <c r="C1130" s="51" t="s">
        <v>70</v>
      </c>
      <c r="D1130" s="25" t="s">
        <v>948</v>
      </c>
      <c r="E1130" s="28"/>
    </row>
    <row r="1131" spans="1:5" ht="34" x14ac:dyDescent="0.2">
      <c r="A1131" s="83" t="s">
        <v>921</v>
      </c>
      <c r="B1131" s="22">
        <v>2241053</v>
      </c>
      <c r="C1131" s="30" t="s">
        <v>84</v>
      </c>
      <c r="D1131" s="25" t="s">
        <v>904</v>
      </c>
      <c r="E1131" s="28"/>
    </row>
    <row r="1132" spans="1:5" ht="34" x14ac:dyDescent="0.2">
      <c r="A1132" s="83" t="s">
        <v>921</v>
      </c>
      <c r="B1132" s="22">
        <v>2242036</v>
      </c>
      <c r="C1132" s="30" t="s">
        <v>84</v>
      </c>
      <c r="D1132" s="25" t="s">
        <v>949</v>
      </c>
      <c r="E1132" s="28"/>
    </row>
    <row r="1133" spans="1:5" ht="34" x14ac:dyDescent="0.2">
      <c r="A1133" s="83" t="s">
        <v>921</v>
      </c>
      <c r="B1133" s="22">
        <v>2242044</v>
      </c>
      <c r="C1133" s="30" t="s">
        <v>84</v>
      </c>
      <c r="D1133" s="25" t="s">
        <v>950</v>
      </c>
      <c r="E1133" s="28"/>
    </row>
    <row r="1134" spans="1:5" ht="34" x14ac:dyDescent="0.2">
      <c r="A1134" s="83" t="s">
        <v>921</v>
      </c>
      <c r="B1134" s="22">
        <v>2243043</v>
      </c>
      <c r="C1134" s="30" t="s">
        <v>84</v>
      </c>
      <c r="D1134" s="25" t="s">
        <v>951</v>
      </c>
      <c r="E1134" s="28"/>
    </row>
    <row r="1135" spans="1:5" ht="34" x14ac:dyDescent="0.2">
      <c r="A1135" s="83" t="s">
        <v>921</v>
      </c>
      <c r="B1135" s="22">
        <v>2243049</v>
      </c>
      <c r="C1135" s="30" t="s">
        <v>84</v>
      </c>
      <c r="D1135" s="25" t="s">
        <v>952</v>
      </c>
      <c r="E1135" s="28"/>
    </row>
    <row r="1136" spans="1:5" ht="34" x14ac:dyDescent="0.2">
      <c r="A1136" s="83" t="s">
        <v>921</v>
      </c>
      <c r="B1136" s="22">
        <v>2832011</v>
      </c>
      <c r="C1136" s="30" t="s">
        <v>84</v>
      </c>
      <c r="D1136" s="25" t="s">
        <v>782</v>
      </c>
      <c r="E1136" s="28"/>
    </row>
    <row r="1137" spans="1:5" ht="34" x14ac:dyDescent="0.2">
      <c r="A1137" s="83" t="s">
        <v>921</v>
      </c>
      <c r="B1137" s="22">
        <v>2832037</v>
      </c>
      <c r="C1137" s="30" t="s">
        <v>84</v>
      </c>
      <c r="D1137" s="25" t="s">
        <v>319</v>
      </c>
      <c r="E1137" s="28"/>
    </row>
    <row r="1138" spans="1:5" ht="34" x14ac:dyDescent="0.2">
      <c r="A1138" s="83" t="s">
        <v>921</v>
      </c>
      <c r="B1138" s="22">
        <v>2838171</v>
      </c>
      <c r="C1138" s="30" t="s">
        <v>84</v>
      </c>
      <c r="D1138" s="25" t="s">
        <v>953</v>
      </c>
      <c r="E1138" s="28"/>
    </row>
    <row r="1139" spans="1:5" ht="34" x14ac:dyDescent="0.2">
      <c r="A1139" s="83" t="s">
        <v>921</v>
      </c>
      <c r="B1139" s="22">
        <v>2839075</v>
      </c>
      <c r="C1139" s="30" t="s">
        <v>84</v>
      </c>
      <c r="D1139" s="25" t="s">
        <v>954</v>
      </c>
      <c r="E1139" s="28"/>
    </row>
    <row r="1140" spans="1:5" ht="34" x14ac:dyDescent="0.2">
      <c r="A1140" s="83" t="s">
        <v>921</v>
      </c>
      <c r="B1140" s="22">
        <v>2848238</v>
      </c>
      <c r="C1140" s="30" t="s">
        <v>84</v>
      </c>
      <c r="D1140" s="25" t="s">
        <v>955</v>
      </c>
      <c r="E1140" s="28"/>
    </row>
    <row r="1141" spans="1:5" ht="34" x14ac:dyDescent="0.2">
      <c r="A1141" s="83" t="s">
        <v>921</v>
      </c>
      <c r="B1141" s="22">
        <v>2849031</v>
      </c>
      <c r="C1141" s="30" t="s">
        <v>84</v>
      </c>
      <c r="D1141" s="25" t="s">
        <v>956</v>
      </c>
      <c r="E1141" s="28"/>
    </row>
    <row r="1142" spans="1:5" ht="34" x14ac:dyDescent="0.2">
      <c r="A1142" s="83" t="s">
        <v>921</v>
      </c>
      <c r="B1142" s="22">
        <v>2837192</v>
      </c>
      <c r="C1142" s="30" t="s">
        <v>84</v>
      </c>
      <c r="D1142" s="25" t="s">
        <v>957</v>
      </c>
      <c r="E1142" s="28"/>
    </row>
    <row r="1143" spans="1:5" ht="34" x14ac:dyDescent="0.2">
      <c r="A1143" s="83" t="s">
        <v>921</v>
      </c>
      <c r="B1143" s="22">
        <v>2800408</v>
      </c>
      <c r="C1143" s="30" t="s">
        <v>84</v>
      </c>
      <c r="D1143" s="25" t="s">
        <v>958</v>
      </c>
      <c r="E1143" s="28"/>
    </row>
    <row r="1144" spans="1:5" ht="34" x14ac:dyDescent="0.2">
      <c r="A1144" s="83" t="s">
        <v>921</v>
      </c>
      <c r="B1144" s="22">
        <v>2820012</v>
      </c>
      <c r="C1144" s="30" t="s">
        <v>84</v>
      </c>
      <c r="D1144" s="25" t="s">
        <v>959</v>
      </c>
      <c r="E1144" s="28"/>
    </row>
    <row r="1145" spans="1:5" ht="34" x14ac:dyDescent="0.2">
      <c r="A1145" s="83" t="s">
        <v>921</v>
      </c>
      <c r="B1145" s="22">
        <v>2841066</v>
      </c>
      <c r="C1145" s="30" t="s">
        <v>84</v>
      </c>
      <c r="D1145" s="25" t="s">
        <v>285</v>
      </c>
      <c r="E1145" s="28"/>
    </row>
    <row r="1146" spans="1:5" ht="34" x14ac:dyDescent="0.2">
      <c r="A1146" s="83" t="s">
        <v>921</v>
      </c>
      <c r="B1146" s="22">
        <v>2834033</v>
      </c>
      <c r="C1146" s="30" t="s">
        <v>84</v>
      </c>
      <c r="D1146" s="25" t="s">
        <v>960</v>
      </c>
      <c r="E1146" s="28"/>
    </row>
    <row r="1147" spans="1:5" ht="34" x14ac:dyDescent="0.2">
      <c r="A1147" s="83" t="s">
        <v>921</v>
      </c>
      <c r="B1147" s="22">
        <v>2848235</v>
      </c>
      <c r="C1147" s="30" t="s">
        <v>84</v>
      </c>
      <c r="D1147" s="25" t="s">
        <v>911</v>
      </c>
      <c r="E1147" s="28"/>
    </row>
    <row r="1148" spans="1:5" ht="34" x14ac:dyDescent="0.2">
      <c r="A1148" s="83" t="s">
        <v>921</v>
      </c>
      <c r="B1148" s="22">
        <v>2849190</v>
      </c>
      <c r="C1148" s="30" t="s">
        <v>84</v>
      </c>
      <c r="D1148" s="25" t="s">
        <v>913</v>
      </c>
      <c r="E1148" s="28"/>
    </row>
    <row r="1149" spans="1:5" ht="34" x14ac:dyDescent="0.2">
      <c r="A1149" s="26" t="s">
        <v>921</v>
      </c>
      <c r="B1149" s="22">
        <v>2822683</v>
      </c>
      <c r="C1149" s="30" t="s">
        <v>76</v>
      </c>
      <c r="D1149" s="25" t="s">
        <v>81</v>
      </c>
      <c r="E1149" s="28"/>
    </row>
    <row r="1150" spans="1:5" ht="34" x14ac:dyDescent="0.2">
      <c r="A1150" s="26" t="s">
        <v>921</v>
      </c>
      <c r="B1150" s="22">
        <v>2824379</v>
      </c>
      <c r="C1150" s="30" t="s">
        <v>76</v>
      </c>
      <c r="D1150" s="25" t="s">
        <v>961</v>
      </c>
      <c r="E1150" s="28"/>
    </row>
    <row r="1151" spans="1:5" ht="34" x14ac:dyDescent="0.2">
      <c r="A1151" s="26" t="s">
        <v>921</v>
      </c>
      <c r="B1151" s="22">
        <v>2836021</v>
      </c>
      <c r="C1151" s="30" t="s">
        <v>76</v>
      </c>
      <c r="D1151" s="25" t="s">
        <v>962</v>
      </c>
      <c r="E1151" s="28"/>
    </row>
    <row r="1152" spans="1:5" ht="34" x14ac:dyDescent="0.2">
      <c r="A1152" s="26" t="s">
        <v>921</v>
      </c>
      <c r="B1152" s="22">
        <v>2822422</v>
      </c>
      <c r="C1152" s="30" t="s">
        <v>76</v>
      </c>
      <c r="D1152" s="25" t="s">
        <v>963</v>
      </c>
      <c r="E1152" s="28"/>
    </row>
    <row r="1153" spans="1:5" ht="34" x14ac:dyDescent="0.2">
      <c r="A1153" s="26" t="s">
        <v>921</v>
      </c>
      <c r="B1153" s="22">
        <v>5010646</v>
      </c>
      <c r="C1153" s="27" t="s">
        <v>76</v>
      </c>
      <c r="D1153" s="25" t="s">
        <v>77</v>
      </c>
      <c r="E1153" s="28"/>
    </row>
    <row r="1154" spans="1:5" ht="34" x14ac:dyDescent="0.2">
      <c r="A1154" s="26" t="s">
        <v>921</v>
      </c>
      <c r="B1154" s="22">
        <v>713373</v>
      </c>
      <c r="C1154" s="27" t="s">
        <v>76</v>
      </c>
      <c r="D1154" s="25" t="s">
        <v>964</v>
      </c>
      <c r="E1154" s="28"/>
    </row>
    <row r="1155" spans="1:5" ht="34" x14ac:dyDescent="0.2">
      <c r="A1155" s="26" t="s">
        <v>921</v>
      </c>
      <c r="B1155" s="22">
        <v>5022331</v>
      </c>
      <c r="C1155" s="27" t="s">
        <v>76</v>
      </c>
      <c r="D1155" s="25" t="s">
        <v>965</v>
      </c>
      <c r="E1155" s="28"/>
    </row>
    <row r="1156" spans="1:5" ht="34" x14ac:dyDescent="0.2">
      <c r="A1156" s="26" t="s">
        <v>921</v>
      </c>
      <c r="B1156" s="22">
        <v>160362</v>
      </c>
      <c r="C1156" s="27" t="s">
        <v>76</v>
      </c>
      <c r="D1156" s="25" t="s">
        <v>966</v>
      </c>
      <c r="E1156" s="28"/>
    </row>
    <row r="1157" spans="1:5" ht="34" x14ac:dyDescent="0.2">
      <c r="A1157" s="26" t="s">
        <v>921</v>
      </c>
      <c r="B1157" s="22">
        <v>373992</v>
      </c>
      <c r="C1157" s="27" t="s">
        <v>76</v>
      </c>
      <c r="D1157" s="52" t="str">
        <f>HYPERLINK("https://www.linkedin.com/learning/executive-decision-making/welcome","Executive Decision-Making")</f>
        <v>Executive Decision-Making</v>
      </c>
      <c r="E1157" s="28"/>
    </row>
    <row r="1158" spans="1:5" ht="34" x14ac:dyDescent="0.2">
      <c r="A1158" s="26" t="s">
        <v>921</v>
      </c>
      <c r="B1158" s="22">
        <v>167027</v>
      </c>
      <c r="C1158" s="27" t="s">
        <v>76</v>
      </c>
      <c r="D1158" s="25" t="s">
        <v>967</v>
      </c>
      <c r="E1158" s="28"/>
    </row>
    <row r="1159" spans="1:5" ht="34" x14ac:dyDescent="0.2">
      <c r="A1159" s="26" t="s">
        <v>921</v>
      </c>
      <c r="B1159" s="22">
        <v>2806197</v>
      </c>
      <c r="C1159" s="27" t="s">
        <v>76</v>
      </c>
      <c r="D1159" s="25" t="s">
        <v>968</v>
      </c>
      <c r="E1159" s="28"/>
    </row>
    <row r="1160" spans="1:5" ht="34" x14ac:dyDescent="0.2">
      <c r="A1160" s="26" t="s">
        <v>921</v>
      </c>
      <c r="B1160" s="22">
        <v>645013</v>
      </c>
      <c r="C1160" s="27" t="s">
        <v>76</v>
      </c>
      <c r="D1160" s="25" t="s">
        <v>240</v>
      </c>
      <c r="E1160" s="28"/>
    </row>
    <row r="1161" spans="1:5" ht="34" x14ac:dyDescent="0.2">
      <c r="A1161" s="26" t="s">
        <v>921</v>
      </c>
      <c r="B1161" s="22">
        <v>672869</v>
      </c>
      <c r="C1161" s="27" t="s">
        <v>76</v>
      </c>
      <c r="D1161" s="25" t="s">
        <v>969</v>
      </c>
      <c r="E1161" s="28"/>
    </row>
    <row r="1162" spans="1:5" ht="34" x14ac:dyDescent="0.2">
      <c r="A1162" s="26" t="s">
        <v>921</v>
      </c>
      <c r="B1162" s="22">
        <v>565362</v>
      </c>
      <c r="C1162" s="27" t="s">
        <v>76</v>
      </c>
      <c r="D1162" s="25" t="s">
        <v>970</v>
      </c>
      <c r="E1162" s="28"/>
    </row>
    <row r="1163" spans="1:5" ht="34" x14ac:dyDescent="0.2">
      <c r="A1163" s="26" t="s">
        <v>921</v>
      </c>
      <c r="B1163" s="84">
        <v>175129</v>
      </c>
      <c r="C1163" s="85" t="s">
        <v>76</v>
      </c>
      <c r="D1163" s="25" t="s">
        <v>183</v>
      </c>
      <c r="E1163" s="28"/>
    </row>
    <row r="1164" spans="1:5" ht="34" x14ac:dyDescent="0.2">
      <c r="A1164" s="26" t="s">
        <v>921</v>
      </c>
      <c r="B1164" s="22">
        <v>647651</v>
      </c>
      <c r="C1164" s="27" t="s">
        <v>76</v>
      </c>
      <c r="D1164" s="25" t="s">
        <v>971</v>
      </c>
      <c r="E1164" s="28"/>
    </row>
    <row r="1165" spans="1:5" ht="34" x14ac:dyDescent="0.2">
      <c r="A1165" s="26" t="s">
        <v>921</v>
      </c>
      <c r="B1165" s="22">
        <v>483102</v>
      </c>
      <c r="C1165" s="27" t="s">
        <v>76</v>
      </c>
      <c r="D1165" s="25" t="s">
        <v>972</v>
      </c>
      <c r="E1165" s="28"/>
    </row>
    <row r="1166" spans="1:5" ht="34" x14ac:dyDescent="0.2">
      <c r="A1166" s="26" t="s">
        <v>921</v>
      </c>
      <c r="B1166" s="22">
        <v>808670</v>
      </c>
      <c r="C1166" s="27" t="s">
        <v>76</v>
      </c>
      <c r="D1166" s="25" t="s">
        <v>323</v>
      </c>
      <c r="E1166" s="28"/>
    </row>
    <row r="1167" spans="1:5" ht="34" x14ac:dyDescent="0.2">
      <c r="A1167" s="26" t="s">
        <v>921</v>
      </c>
      <c r="B1167" s="22">
        <v>2814066</v>
      </c>
      <c r="C1167" s="27" t="s">
        <v>76</v>
      </c>
      <c r="D1167" s="25" t="s">
        <v>299</v>
      </c>
      <c r="E1167" s="28"/>
    </row>
    <row r="1168" spans="1:5" ht="34" x14ac:dyDescent="0.2">
      <c r="A1168" s="26" t="s">
        <v>921</v>
      </c>
      <c r="B1168" s="22">
        <v>756285</v>
      </c>
      <c r="C1168" s="27" t="s">
        <v>76</v>
      </c>
      <c r="D1168" s="25" t="s">
        <v>973</v>
      </c>
      <c r="E1168" s="28"/>
    </row>
    <row r="1169" spans="1:5" ht="34" x14ac:dyDescent="0.2">
      <c r="A1169" s="26" t="s">
        <v>921</v>
      </c>
      <c r="B1169" s="22">
        <v>585229</v>
      </c>
      <c r="C1169" s="27" t="s">
        <v>76</v>
      </c>
      <c r="D1169" s="25" t="s">
        <v>974</v>
      </c>
      <c r="E1169" s="28"/>
    </row>
    <row r="1170" spans="1:5" ht="34" x14ac:dyDescent="0.2">
      <c r="A1170" s="26" t="s">
        <v>921</v>
      </c>
      <c r="B1170" s="22">
        <v>2802465</v>
      </c>
      <c r="C1170" s="27" t="s">
        <v>76</v>
      </c>
      <c r="D1170" s="25" t="s">
        <v>975</v>
      </c>
      <c r="E1170" s="28"/>
    </row>
    <row r="1171" spans="1:5" ht="34" x14ac:dyDescent="0.2">
      <c r="A1171" s="26" t="s">
        <v>921</v>
      </c>
      <c r="B1171" s="22">
        <v>553472</v>
      </c>
      <c r="C1171" s="27" t="s">
        <v>76</v>
      </c>
      <c r="D1171" s="25" t="s">
        <v>976</v>
      </c>
      <c r="E1171" s="28"/>
    </row>
    <row r="1172" spans="1:5" ht="34" x14ac:dyDescent="0.2">
      <c r="A1172" s="26" t="s">
        <v>921</v>
      </c>
      <c r="B1172" s="22">
        <v>387349</v>
      </c>
      <c r="C1172" s="27" t="s">
        <v>76</v>
      </c>
      <c r="D1172" s="52" t="str">
        <f>HYPERLINK("https://www.linkedin.com/learning/powerless-to-powerful-taking-control","Powerless to Powerful: Taking Control")</f>
        <v>Powerless to Powerful: Taking Control</v>
      </c>
      <c r="E1172" s="28"/>
    </row>
    <row r="1173" spans="1:5" ht="34" x14ac:dyDescent="0.2">
      <c r="A1173" s="26" t="s">
        <v>921</v>
      </c>
      <c r="B1173" s="22">
        <v>420309</v>
      </c>
      <c r="C1173" s="27" t="s">
        <v>76</v>
      </c>
      <c r="D1173" s="25" t="s">
        <v>915</v>
      </c>
      <c r="E1173" s="28"/>
    </row>
    <row r="1174" spans="1:5" ht="34" x14ac:dyDescent="0.2">
      <c r="A1174" s="26" t="s">
        <v>921</v>
      </c>
      <c r="B1174" s="22">
        <v>2802024</v>
      </c>
      <c r="C1174" s="27" t="s">
        <v>76</v>
      </c>
      <c r="D1174" s="25" t="s">
        <v>977</v>
      </c>
      <c r="E1174" s="28"/>
    </row>
    <row r="1175" spans="1:5" ht="34" x14ac:dyDescent="0.2">
      <c r="A1175" s="26" t="s">
        <v>921</v>
      </c>
      <c r="B1175" s="22">
        <v>2811020</v>
      </c>
      <c r="C1175" s="27" t="s">
        <v>76</v>
      </c>
      <c r="D1175" s="25" t="s">
        <v>298</v>
      </c>
      <c r="E1175" s="28"/>
    </row>
    <row r="1176" spans="1:5" ht="34" x14ac:dyDescent="0.2">
      <c r="A1176" s="26" t="s">
        <v>921</v>
      </c>
      <c r="B1176" s="22">
        <v>2812534</v>
      </c>
      <c r="C1176" s="27" t="s">
        <v>76</v>
      </c>
      <c r="D1176" s="25" t="s">
        <v>978</v>
      </c>
      <c r="E1176" s="28"/>
    </row>
    <row r="1177" spans="1:5" ht="34" x14ac:dyDescent="0.2">
      <c r="A1177" s="26" t="s">
        <v>921</v>
      </c>
      <c r="B1177" s="22">
        <v>2228264</v>
      </c>
      <c r="C1177" s="27" t="s">
        <v>76</v>
      </c>
      <c r="D1177" s="25" t="s">
        <v>189</v>
      </c>
      <c r="E1177" s="28"/>
    </row>
    <row r="1178" spans="1:5" ht="34" x14ac:dyDescent="0.2">
      <c r="A1178" s="26" t="s">
        <v>921</v>
      </c>
      <c r="B1178" s="22">
        <v>2813183</v>
      </c>
      <c r="C1178" s="27" t="s">
        <v>76</v>
      </c>
      <c r="D1178" s="25" t="s">
        <v>917</v>
      </c>
      <c r="E1178" s="28"/>
    </row>
    <row r="1179" spans="1:5" ht="34" x14ac:dyDescent="0.2">
      <c r="A1179" s="26" t="s">
        <v>921</v>
      </c>
      <c r="B1179" s="22">
        <v>2825124</v>
      </c>
      <c r="C1179" s="27" t="s">
        <v>76</v>
      </c>
      <c r="D1179" s="25" t="s">
        <v>191</v>
      </c>
      <c r="E1179" s="28"/>
    </row>
    <row r="1180" spans="1:5" ht="34" x14ac:dyDescent="0.2">
      <c r="A1180" s="26" t="s">
        <v>921</v>
      </c>
      <c r="B1180" s="22">
        <v>2825499</v>
      </c>
      <c r="C1180" s="27" t="s">
        <v>76</v>
      </c>
      <c r="D1180" s="25" t="s">
        <v>979</v>
      </c>
      <c r="E1180" s="28"/>
    </row>
    <row r="1181" spans="1:5" ht="34" x14ac:dyDescent="0.2">
      <c r="A1181" s="26" t="s">
        <v>921</v>
      </c>
      <c r="B1181" s="22">
        <v>2822642</v>
      </c>
      <c r="C1181" s="27" t="s">
        <v>76</v>
      </c>
      <c r="D1181" s="25" t="s">
        <v>816</v>
      </c>
      <c r="E1181" s="28"/>
    </row>
    <row r="1182" spans="1:5" ht="34" x14ac:dyDescent="0.2">
      <c r="A1182" s="26" t="s">
        <v>921</v>
      </c>
      <c r="B1182" s="22">
        <v>2824374</v>
      </c>
      <c r="C1182" s="27" t="s">
        <v>76</v>
      </c>
      <c r="D1182" s="25" t="s">
        <v>980</v>
      </c>
      <c r="E1182" s="28"/>
    </row>
    <row r="1183" spans="1:5" ht="34" x14ac:dyDescent="0.2">
      <c r="A1183" s="26" t="s">
        <v>921</v>
      </c>
      <c r="B1183" s="22">
        <v>2836015</v>
      </c>
      <c r="C1183" s="27" t="s">
        <v>76</v>
      </c>
      <c r="D1183" s="25" t="s">
        <v>919</v>
      </c>
      <c r="E1183" s="28"/>
    </row>
    <row r="1184" spans="1:5" ht="34" x14ac:dyDescent="0.2">
      <c r="A1184" s="26" t="s">
        <v>921</v>
      </c>
      <c r="B1184" s="22">
        <v>2838146</v>
      </c>
      <c r="C1184" s="27" t="s">
        <v>76</v>
      </c>
      <c r="D1184" s="25" t="s">
        <v>920</v>
      </c>
      <c r="E1184" s="28"/>
    </row>
    <row r="1185" spans="1:5" ht="34" x14ac:dyDescent="0.2">
      <c r="A1185" s="26" t="s">
        <v>921</v>
      </c>
      <c r="B1185" s="22">
        <v>2849189</v>
      </c>
      <c r="C1185" s="27" t="s">
        <v>76</v>
      </c>
      <c r="D1185" s="48" t="s">
        <v>912</v>
      </c>
      <c r="E1185" s="28"/>
    </row>
    <row r="1186" spans="1:5" ht="34" x14ac:dyDescent="0.2">
      <c r="A1186" s="26" t="s">
        <v>921</v>
      </c>
      <c r="B1186" s="22">
        <v>2837260</v>
      </c>
      <c r="C1186" s="27" t="s">
        <v>76</v>
      </c>
      <c r="D1186" s="25" t="s">
        <v>485</v>
      </c>
      <c r="E1186" s="28"/>
    </row>
    <row r="1187" spans="1:5" ht="17" x14ac:dyDescent="0.2">
      <c r="A1187" s="26" t="s">
        <v>981</v>
      </c>
      <c r="B1187" s="19" t="s">
        <v>10</v>
      </c>
      <c r="C1187" s="19" t="s">
        <v>11</v>
      </c>
      <c r="D1187" s="21" t="s">
        <v>12</v>
      </c>
      <c r="E1187" s="21" t="s">
        <v>13</v>
      </c>
    </row>
    <row r="1188" spans="1:5" ht="17" x14ac:dyDescent="0.2">
      <c r="A1188" s="26" t="s">
        <v>981</v>
      </c>
      <c r="B1188" s="22">
        <v>574670</v>
      </c>
      <c r="C1188" s="27" t="s">
        <v>14</v>
      </c>
      <c r="D1188" s="25" t="s">
        <v>141</v>
      </c>
      <c r="E1188" s="25" t="s">
        <v>982</v>
      </c>
    </row>
    <row r="1189" spans="1:5" ht="17" x14ac:dyDescent="0.2">
      <c r="A1189" s="26" t="s">
        <v>981</v>
      </c>
      <c r="B1189" s="22">
        <v>2823247</v>
      </c>
      <c r="C1189" s="27" t="s">
        <v>14</v>
      </c>
      <c r="D1189" s="25" t="s">
        <v>983</v>
      </c>
      <c r="E1189" s="25" t="s">
        <v>984</v>
      </c>
    </row>
    <row r="1190" spans="1:5" ht="17" x14ac:dyDescent="0.2">
      <c r="A1190" s="26" t="s">
        <v>981</v>
      </c>
      <c r="B1190" s="22">
        <v>647657</v>
      </c>
      <c r="C1190" s="27" t="s">
        <v>17</v>
      </c>
      <c r="D1190" s="25" t="s">
        <v>145</v>
      </c>
      <c r="E1190" s="25" t="s">
        <v>985</v>
      </c>
    </row>
    <row r="1191" spans="1:5" ht="17" x14ac:dyDescent="0.2">
      <c r="A1191" s="26" t="s">
        <v>981</v>
      </c>
      <c r="B1191" s="22">
        <v>693069</v>
      </c>
      <c r="C1191" s="27" t="s">
        <v>17</v>
      </c>
      <c r="D1191" s="25" t="s">
        <v>986</v>
      </c>
      <c r="E1191" s="25" t="s">
        <v>142</v>
      </c>
    </row>
    <row r="1192" spans="1:5" ht="17" x14ac:dyDescent="0.2">
      <c r="A1192" s="26" t="s">
        <v>981</v>
      </c>
      <c r="B1192" s="22">
        <v>746303</v>
      </c>
      <c r="C1192" s="27" t="s">
        <v>17</v>
      </c>
      <c r="D1192" s="25" t="s">
        <v>311</v>
      </c>
      <c r="E1192" s="25" t="str">
        <f>HYPERLINK("https://www.linkedin.com/learning/paths/become-a-senior-manager","Become a Senior Manager")</f>
        <v>Become a Senior Manager</v>
      </c>
    </row>
    <row r="1193" spans="1:5" ht="17" x14ac:dyDescent="0.2">
      <c r="A1193" s="26" t="s">
        <v>981</v>
      </c>
      <c r="B1193" s="22">
        <v>604211</v>
      </c>
      <c r="C1193" s="27" t="s">
        <v>17</v>
      </c>
      <c r="D1193" s="25" t="s">
        <v>987</v>
      </c>
      <c r="E1193" s="25" t="str">
        <f>HYPERLINK("https://www.linkedin.com/learning/paths/managing-performance","Managing Performance")</f>
        <v>Managing Performance</v>
      </c>
    </row>
    <row r="1194" spans="1:5" ht="17" x14ac:dyDescent="0.2">
      <c r="A1194" s="26" t="s">
        <v>981</v>
      </c>
      <c r="B1194" s="22">
        <v>604213</v>
      </c>
      <c r="C1194" s="27" t="s">
        <v>17</v>
      </c>
      <c r="D1194" s="25" t="s">
        <v>988</v>
      </c>
      <c r="E1194" s="25" t="str">
        <f>HYPERLINK("https://www.linkedin.com/learning/paths/master-in-demand-professional-soft-skills","Master In-Demand Professional Soft Skills")</f>
        <v>Master In-Demand Professional Soft Skills</v>
      </c>
    </row>
    <row r="1195" spans="1:5" ht="17" x14ac:dyDescent="0.2">
      <c r="A1195" s="26" t="s">
        <v>981</v>
      </c>
      <c r="B1195" s="22">
        <v>696328</v>
      </c>
      <c r="C1195" s="27" t="s">
        <v>17</v>
      </c>
      <c r="D1195" s="25" t="s">
        <v>989</v>
      </c>
      <c r="E1195" s="25" t="s">
        <v>990</v>
      </c>
    </row>
    <row r="1196" spans="1:5" ht="17" x14ac:dyDescent="0.2">
      <c r="A1196" s="26" t="s">
        <v>981</v>
      </c>
      <c r="B1196" s="22">
        <v>5015865</v>
      </c>
      <c r="C1196" s="27" t="s">
        <v>17</v>
      </c>
      <c r="D1196" s="25" t="s">
        <v>991</v>
      </c>
      <c r="E1196" s="25"/>
    </row>
    <row r="1197" spans="1:5" ht="17" x14ac:dyDescent="0.2">
      <c r="A1197" s="26" t="s">
        <v>981</v>
      </c>
      <c r="B1197" s="22">
        <v>456353</v>
      </c>
      <c r="C1197" s="27" t="s">
        <v>17</v>
      </c>
      <c r="D1197" s="25" t="s">
        <v>151</v>
      </c>
      <c r="E1197" s="25"/>
    </row>
    <row r="1198" spans="1:5" ht="17" x14ac:dyDescent="0.2">
      <c r="A1198" s="26" t="s">
        <v>981</v>
      </c>
      <c r="B1198" s="22">
        <v>385661</v>
      </c>
      <c r="C1198" s="27" t="s">
        <v>17</v>
      </c>
      <c r="D1198" s="25" t="s">
        <v>495</v>
      </c>
      <c r="E1198" s="25"/>
    </row>
    <row r="1199" spans="1:5" ht="17" x14ac:dyDescent="0.2">
      <c r="A1199" s="26" t="s">
        <v>981</v>
      </c>
      <c r="B1199" s="22">
        <v>536419</v>
      </c>
      <c r="C1199" s="27" t="s">
        <v>17</v>
      </c>
      <c r="D1199" s="25" t="s">
        <v>992</v>
      </c>
      <c r="E1199" s="25"/>
    </row>
    <row r="1200" spans="1:5" ht="17" x14ac:dyDescent="0.2">
      <c r="A1200" s="26" t="s">
        <v>981</v>
      </c>
      <c r="B1200" s="22">
        <v>2822313</v>
      </c>
      <c r="C1200" s="27" t="s">
        <v>17</v>
      </c>
      <c r="D1200" s="25" t="s">
        <v>993</v>
      </c>
      <c r="E1200" s="25"/>
    </row>
    <row r="1201" spans="1:5" ht="17" x14ac:dyDescent="0.2">
      <c r="A1201" s="26" t="s">
        <v>981</v>
      </c>
      <c r="B1201" s="22">
        <v>2822314</v>
      </c>
      <c r="C1201" s="27" t="s">
        <v>17</v>
      </c>
      <c r="D1201" s="25" t="s">
        <v>158</v>
      </c>
      <c r="E1201" s="25"/>
    </row>
    <row r="1202" spans="1:5" ht="17" x14ac:dyDescent="0.2">
      <c r="A1202" s="26" t="s">
        <v>981</v>
      </c>
      <c r="B1202" s="22">
        <v>2824174</v>
      </c>
      <c r="C1202" s="27" t="s">
        <v>17</v>
      </c>
      <c r="D1202" s="25" t="s">
        <v>994</v>
      </c>
      <c r="E1202" s="25"/>
    </row>
    <row r="1203" spans="1:5" ht="17" x14ac:dyDescent="0.2">
      <c r="A1203" s="26" t="s">
        <v>981</v>
      </c>
      <c r="B1203" s="22">
        <v>2824202</v>
      </c>
      <c r="C1203" s="27" t="s">
        <v>17</v>
      </c>
      <c r="D1203" s="25" t="s">
        <v>995</v>
      </c>
      <c r="E1203" s="25"/>
    </row>
    <row r="1204" spans="1:5" ht="17" x14ac:dyDescent="0.2">
      <c r="A1204" s="26" t="s">
        <v>981</v>
      </c>
      <c r="B1204" s="22">
        <v>2823296</v>
      </c>
      <c r="C1204" s="27" t="s">
        <v>17</v>
      </c>
      <c r="D1204" s="25" t="s">
        <v>940</v>
      </c>
      <c r="E1204" s="25"/>
    </row>
    <row r="1205" spans="1:5" ht="17" x14ac:dyDescent="0.2">
      <c r="A1205" s="26" t="s">
        <v>981</v>
      </c>
      <c r="B1205" s="22">
        <v>2823297</v>
      </c>
      <c r="C1205" s="27" t="s">
        <v>17</v>
      </c>
      <c r="D1205" s="25" t="s">
        <v>155</v>
      </c>
      <c r="E1205" s="25"/>
    </row>
    <row r="1206" spans="1:5" ht="17" x14ac:dyDescent="0.2">
      <c r="A1206" s="26" t="s">
        <v>981</v>
      </c>
      <c r="B1206" s="22">
        <v>2825706</v>
      </c>
      <c r="C1206" s="27" t="s">
        <v>17</v>
      </c>
      <c r="D1206" s="48" t="s">
        <v>996</v>
      </c>
      <c r="E1206" s="25"/>
    </row>
    <row r="1207" spans="1:5" ht="17" x14ac:dyDescent="0.2">
      <c r="A1207" s="26" t="s">
        <v>981</v>
      </c>
      <c r="B1207" s="22">
        <v>2824268</v>
      </c>
      <c r="C1207" s="27" t="s">
        <v>17</v>
      </c>
      <c r="D1207" s="25" t="s">
        <v>773</v>
      </c>
      <c r="E1207" s="25"/>
    </row>
    <row r="1208" spans="1:5" ht="17" x14ac:dyDescent="0.2">
      <c r="A1208" s="26" t="s">
        <v>981</v>
      </c>
      <c r="B1208" s="22">
        <v>2834000</v>
      </c>
      <c r="C1208" s="27" t="s">
        <v>17</v>
      </c>
      <c r="D1208" s="25" t="s">
        <v>946</v>
      </c>
      <c r="E1208" s="25"/>
    </row>
    <row r="1209" spans="1:5" ht="17" x14ac:dyDescent="0.2">
      <c r="A1209" s="26" t="s">
        <v>981</v>
      </c>
      <c r="B1209" s="22">
        <v>2839044</v>
      </c>
      <c r="C1209" s="27" t="s">
        <v>17</v>
      </c>
      <c r="D1209" s="25" t="s">
        <v>61</v>
      </c>
      <c r="E1209" s="25"/>
    </row>
    <row r="1210" spans="1:5" ht="17" x14ac:dyDescent="0.2">
      <c r="A1210" s="26" t="s">
        <v>981</v>
      </c>
      <c r="B1210" s="22">
        <v>2822414</v>
      </c>
      <c r="C1210" s="27" t="s">
        <v>70</v>
      </c>
      <c r="D1210" s="25" t="s">
        <v>997</v>
      </c>
      <c r="E1210" s="25"/>
    </row>
    <row r="1211" spans="1:5" ht="17" x14ac:dyDescent="0.2">
      <c r="A1211" s="26" t="s">
        <v>981</v>
      </c>
      <c r="B1211" s="22">
        <v>2825332</v>
      </c>
      <c r="C1211" s="27" t="s">
        <v>70</v>
      </c>
      <c r="D1211" s="25" t="s">
        <v>164</v>
      </c>
      <c r="E1211" s="25"/>
    </row>
    <row r="1212" spans="1:5" ht="17" x14ac:dyDescent="0.2">
      <c r="A1212" s="26" t="s">
        <v>981</v>
      </c>
      <c r="B1212" s="22">
        <v>2825161</v>
      </c>
      <c r="C1212" s="27" t="s">
        <v>70</v>
      </c>
      <c r="D1212" s="25" t="s">
        <v>72</v>
      </c>
      <c r="E1212" s="25"/>
    </row>
    <row r="1213" spans="1:5" ht="17" x14ac:dyDescent="0.2">
      <c r="A1213" s="26" t="s">
        <v>981</v>
      </c>
      <c r="B1213" s="22">
        <v>2825489</v>
      </c>
      <c r="C1213" s="27" t="s">
        <v>70</v>
      </c>
      <c r="D1213" s="25" t="s">
        <v>998</v>
      </c>
      <c r="E1213" s="25"/>
    </row>
    <row r="1214" spans="1:5" ht="17" x14ac:dyDescent="0.2">
      <c r="A1214" s="26" t="s">
        <v>981</v>
      </c>
      <c r="B1214" s="22">
        <v>802842</v>
      </c>
      <c r="C1214" s="30" t="s">
        <v>70</v>
      </c>
      <c r="D1214" s="25" t="s">
        <v>165</v>
      </c>
      <c r="E1214" s="25"/>
    </row>
    <row r="1215" spans="1:5" ht="17" x14ac:dyDescent="0.2">
      <c r="A1215" s="26" t="s">
        <v>981</v>
      </c>
      <c r="B1215" s="22">
        <v>661750</v>
      </c>
      <c r="C1215" s="30" t="s">
        <v>70</v>
      </c>
      <c r="D1215" s="25" t="s">
        <v>166</v>
      </c>
      <c r="E1215" s="25"/>
    </row>
    <row r="1216" spans="1:5" ht="17" x14ac:dyDescent="0.2">
      <c r="A1216" s="26" t="s">
        <v>981</v>
      </c>
      <c r="B1216" s="22">
        <v>721911</v>
      </c>
      <c r="C1216" s="30" t="s">
        <v>70</v>
      </c>
      <c r="D1216" s="25" t="s">
        <v>999</v>
      </c>
      <c r="E1216" s="25"/>
    </row>
    <row r="1217" spans="1:5" ht="17" x14ac:dyDescent="0.2">
      <c r="A1217" s="26" t="s">
        <v>981</v>
      </c>
      <c r="B1217" s="22">
        <v>746304</v>
      </c>
      <c r="C1217" s="30" t="s">
        <v>70</v>
      </c>
      <c r="D1217" s="25" t="s">
        <v>167</v>
      </c>
      <c r="E1217" s="25"/>
    </row>
    <row r="1218" spans="1:5" ht="17" x14ac:dyDescent="0.2">
      <c r="A1218" s="26" t="s">
        <v>981</v>
      </c>
      <c r="B1218" s="22">
        <v>664803</v>
      </c>
      <c r="C1218" s="30" t="s">
        <v>70</v>
      </c>
      <c r="D1218" s="25" t="s">
        <v>779</v>
      </c>
      <c r="E1218" s="25"/>
    </row>
    <row r="1219" spans="1:5" ht="17" x14ac:dyDescent="0.2">
      <c r="A1219" s="26" t="s">
        <v>981</v>
      </c>
      <c r="B1219" s="22">
        <v>688508</v>
      </c>
      <c r="C1219" s="30" t="s">
        <v>70</v>
      </c>
      <c r="D1219" s="25" t="s">
        <v>169</v>
      </c>
      <c r="E1219" s="25"/>
    </row>
    <row r="1220" spans="1:5" ht="17" x14ac:dyDescent="0.2">
      <c r="A1220" s="26" t="s">
        <v>981</v>
      </c>
      <c r="B1220" s="22">
        <v>2835013</v>
      </c>
      <c r="C1220" s="30" t="s">
        <v>70</v>
      </c>
      <c r="D1220" s="25" t="s">
        <v>903</v>
      </c>
      <c r="E1220" s="25"/>
    </row>
    <row r="1221" spans="1:5" ht="17" x14ac:dyDescent="0.2">
      <c r="A1221" s="26" t="s">
        <v>981</v>
      </c>
      <c r="B1221" s="22">
        <v>5038200</v>
      </c>
      <c r="C1221" s="59" t="s">
        <v>84</v>
      </c>
      <c r="D1221" s="25" t="s">
        <v>1000</v>
      </c>
      <c r="E1221" s="25"/>
    </row>
    <row r="1222" spans="1:5" ht="17" x14ac:dyDescent="0.2">
      <c r="A1222" s="26" t="s">
        <v>981</v>
      </c>
      <c r="B1222" s="22">
        <v>2241058</v>
      </c>
      <c r="C1222" s="59" t="s">
        <v>84</v>
      </c>
      <c r="D1222" s="25" t="s">
        <v>172</v>
      </c>
      <c r="E1222" s="25"/>
    </row>
    <row r="1223" spans="1:5" ht="17" x14ac:dyDescent="0.2">
      <c r="A1223" s="26" t="s">
        <v>981</v>
      </c>
      <c r="B1223" s="22">
        <v>2837192</v>
      </c>
      <c r="C1223" s="59" t="s">
        <v>84</v>
      </c>
      <c r="D1223" s="25" t="s">
        <v>957</v>
      </c>
      <c r="E1223" s="25"/>
    </row>
    <row r="1224" spans="1:5" ht="17" x14ac:dyDescent="0.2">
      <c r="A1224" s="26" t="s">
        <v>981</v>
      </c>
      <c r="B1224" s="22">
        <v>2836029</v>
      </c>
      <c r="C1224" s="59" t="s">
        <v>84</v>
      </c>
      <c r="D1224" s="25" t="s">
        <v>1001</v>
      </c>
      <c r="E1224" s="25"/>
    </row>
    <row r="1225" spans="1:5" ht="17" x14ac:dyDescent="0.2">
      <c r="A1225" s="26" t="s">
        <v>981</v>
      </c>
      <c r="B1225" s="22">
        <v>2837265</v>
      </c>
      <c r="C1225" s="59" t="s">
        <v>84</v>
      </c>
      <c r="D1225" s="25" t="s">
        <v>1002</v>
      </c>
      <c r="E1225" s="25"/>
    </row>
    <row r="1226" spans="1:5" ht="17" x14ac:dyDescent="0.2">
      <c r="A1226" s="26" t="s">
        <v>981</v>
      </c>
      <c r="B1226" s="22">
        <v>2849190</v>
      </c>
      <c r="C1226" s="59" t="s">
        <v>84</v>
      </c>
      <c r="D1226" s="25" t="s">
        <v>913</v>
      </c>
      <c r="E1226" s="25"/>
    </row>
    <row r="1227" spans="1:5" ht="17" x14ac:dyDescent="0.2">
      <c r="A1227" s="26" t="s">
        <v>981</v>
      </c>
      <c r="B1227" s="22">
        <v>2848239</v>
      </c>
      <c r="C1227" s="27" t="s">
        <v>84</v>
      </c>
      <c r="D1227" s="25" t="s">
        <v>177</v>
      </c>
      <c r="E1227" s="25"/>
    </row>
    <row r="1228" spans="1:5" ht="17" x14ac:dyDescent="0.2">
      <c r="A1228" s="26" t="s">
        <v>981</v>
      </c>
      <c r="B1228" s="22">
        <v>2848236</v>
      </c>
      <c r="C1228" s="27" t="s">
        <v>76</v>
      </c>
      <c r="D1228" s="25" t="s">
        <v>1003</v>
      </c>
      <c r="E1228" s="25"/>
    </row>
    <row r="1229" spans="1:5" ht="17" x14ac:dyDescent="0.2">
      <c r="A1229" s="26" t="s">
        <v>981</v>
      </c>
      <c r="B1229" s="22">
        <v>808667</v>
      </c>
      <c r="C1229" s="27" t="s">
        <v>76</v>
      </c>
      <c r="D1229" s="25" t="s">
        <v>1004</v>
      </c>
      <c r="E1229" s="25"/>
    </row>
    <row r="1230" spans="1:5" ht="17" x14ac:dyDescent="0.2">
      <c r="A1230" s="26" t="s">
        <v>981</v>
      </c>
      <c r="B1230" s="22">
        <v>645011</v>
      </c>
      <c r="C1230" s="27" t="s">
        <v>76</v>
      </c>
      <c r="D1230" s="25" t="s">
        <v>1005</v>
      </c>
      <c r="E1230" s="25"/>
    </row>
    <row r="1231" spans="1:5" ht="17" x14ac:dyDescent="0.2">
      <c r="A1231" s="26" t="s">
        <v>981</v>
      </c>
      <c r="B1231" s="22">
        <v>672234</v>
      </c>
      <c r="C1231" s="27" t="s">
        <v>76</v>
      </c>
      <c r="D1231" s="25" t="s">
        <v>1006</v>
      </c>
      <c r="E1231" s="25"/>
    </row>
    <row r="1232" spans="1:5" ht="17" x14ac:dyDescent="0.2">
      <c r="A1232" s="26" t="s">
        <v>981</v>
      </c>
      <c r="B1232" s="22">
        <v>197201</v>
      </c>
      <c r="C1232" s="27" t="s">
        <v>76</v>
      </c>
      <c r="D1232" s="25" t="s">
        <v>1007</v>
      </c>
      <c r="E1232" s="25"/>
    </row>
    <row r="1233" spans="1:5" ht="17" x14ac:dyDescent="0.2">
      <c r="A1233" s="26" t="s">
        <v>981</v>
      </c>
      <c r="B1233" s="22">
        <v>737756</v>
      </c>
      <c r="C1233" s="27" t="s">
        <v>76</v>
      </c>
      <c r="D1233" s="25" t="s">
        <v>180</v>
      </c>
      <c r="E1233" s="25"/>
    </row>
    <row r="1234" spans="1:5" ht="17" x14ac:dyDescent="0.2">
      <c r="A1234" s="26" t="s">
        <v>981</v>
      </c>
      <c r="B1234" s="22">
        <v>700792</v>
      </c>
      <c r="C1234" s="27" t="s">
        <v>76</v>
      </c>
      <c r="D1234" s="25" t="s">
        <v>239</v>
      </c>
      <c r="E1234" s="25"/>
    </row>
    <row r="1235" spans="1:5" ht="17" x14ac:dyDescent="0.2">
      <c r="A1235" s="26" t="s">
        <v>981</v>
      </c>
      <c r="B1235" s="22">
        <v>656781</v>
      </c>
      <c r="C1235" s="27" t="s">
        <v>76</v>
      </c>
      <c r="D1235" s="25" t="s">
        <v>182</v>
      </c>
      <c r="E1235" s="25"/>
    </row>
    <row r="1236" spans="1:5" ht="17" x14ac:dyDescent="0.2">
      <c r="A1236" s="26" t="s">
        <v>981</v>
      </c>
      <c r="B1236" s="22">
        <v>175129</v>
      </c>
      <c r="C1236" s="27" t="s">
        <v>76</v>
      </c>
      <c r="D1236" s="25" t="s">
        <v>183</v>
      </c>
      <c r="E1236" s="25"/>
    </row>
    <row r="1237" spans="1:5" ht="17" x14ac:dyDescent="0.2">
      <c r="A1237" s="26" t="s">
        <v>981</v>
      </c>
      <c r="B1237" s="22">
        <v>746305</v>
      </c>
      <c r="C1237" s="27" t="s">
        <v>76</v>
      </c>
      <c r="D1237" s="25" t="s">
        <v>324</v>
      </c>
      <c r="E1237" s="25"/>
    </row>
    <row r="1238" spans="1:5" ht="17" x14ac:dyDescent="0.2">
      <c r="A1238" s="26" t="s">
        <v>981</v>
      </c>
      <c r="B1238" s="22">
        <v>162447</v>
      </c>
      <c r="C1238" s="27" t="s">
        <v>76</v>
      </c>
      <c r="D1238" s="48" t="s">
        <v>1008</v>
      </c>
      <c r="E1238" s="25"/>
    </row>
    <row r="1239" spans="1:5" ht="17" x14ac:dyDescent="0.2">
      <c r="A1239" s="26" t="s">
        <v>981</v>
      </c>
      <c r="B1239" s="22">
        <v>577353</v>
      </c>
      <c r="C1239" s="27" t="s">
        <v>76</v>
      </c>
      <c r="D1239" s="25" t="s">
        <v>1009</v>
      </c>
      <c r="E1239" s="25"/>
    </row>
    <row r="1240" spans="1:5" ht="17" x14ac:dyDescent="0.2">
      <c r="A1240" s="26" t="s">
        <v>981</v>
      </c>
      <c r="B1240" s="22">
        <v>585227</v>
      </c>
      <c r="C1240" s="27" t="s">
        <v>76</v>
      </c>
      <c r="D1240" s="25" t="s">
        <v>187</v>
      </c>
      <c r="E1240" s="25"/>
    </row>
    <row r="1241" spans="1:5" ht="17" x14ac:dyDescent="0.2">
      <c r="A1241" s="26" t="s">
        <v>981</v>
      </c>
      <c r="B1241" s="22">
        <v>564551</v>
      </c>
      <c r="C1241" s="27" t="s">
        <v>76</v>
      </c>
      <c r="D1241" s="25" t="s">
        <v>80</v>
      </c>
      <c r="E1241" s="25"/>
    </row>
    <row r="1242" spans="1:5" ht="17" x14ac:dyDescent="0.2">
      <c r="A1242" s="26" t="s">
        <v>981</v>
      </c>
      <c r="B1242" s="22">
        <v>2802024</v>
      </c>
      <c r="C1242" s="27" t="s">
        <v>76</v>
      </c>
      <c r="D1242" s="25" t="s">
        <v>977</v>
      </c>
      <c r="E1242" s="25"/>
    </row>
    <row r="1243" spans="1:5" ht="17" x14ac:dyDescent="0.2">
      <c r="A1243" s="26" t="s">
        <v>981</v>
      </c>
      <c r="B1243" s="22">
        <v>2822159</v>
      </c>
      <c r="C1243" s="27" t="s">
        <v>76</v>
      </c>
      <c r="D1243" s="48" t="s">
        <v>190</v>
      </c>
      <c r="E1243" s="25"/>
    </row>
    <row r="1244" spans="1:5" ht="17" x14ac:dyDescent="0.2">
      <c r="A1244" s="26" t="s">
        <v>981</v>
      </c>
      <c r="B1244" s="22">
        <v>2228264</v>
      </c>
      <c r="C1244" s="27" t="s">
        <v>76</v>
      </c>
      <c r="D1244" s="25" t="s">
        <v>189</v>
      </c>
      <c r="E1244" s="25"/>
    </row>
    <row r="1245" spans="1:5" ht="17" x14ac:dyDescent="0.2">
      <c r="A1245" s="26" t="s">
        <v>981</v>
      </c>
      <c r="B1245" s="22">
        <v>2820016</v>
      </c>
      <c r="C1245" s="27" t="s">
        <v>76</v>
      </c>
      <c r="D1245" s="25" t="s">
        <v>192</v>
      </c>
      <c r="E1245" s="25"/>
    </row>
    <row r="1246" spans="1:5" ht="17" x14ac:dyDescent="0.2">
      <c r="A1246" s="26" t="s">
        <v>981</v>
      </c>
      <c r="B1246" s="22">
        <v>2824374</v>
      </c>
      <c r="C1246" s="27" t="s">
        <v>76</v>
      </c>
      <c r="D1246" s="25" t="s">
        <v>980</v>
      </c>
      <c r="E1246" s="25"/>
    </row>
    <row r="1247" spans="1:5" ht="17" x14ac:dyDescent="0.2">
      <c r="A1247" s="26" t="s">
        <v>981</v>
      </c>
      <c r="B1247" s="22">
        <v>2837260</v>
      </c>
      <c r="C1247" s="27" t="s">
        <v>76</v>
      </c>
      <c r="D1247" s="25" t="s">
        <v>485</v>
      </c>
      <c r="E1247" s="25"/>
    </row>
    <row r="1248" spans="1:5" ht="17" x14ac:dyDescent="0.2">
      <c r="A1248" s="26" t="s">
        <v>981</v>
      </c>
      <c r="B1248" s="22">
        <v>2972406</v>
      </c>
      <c r="C1248" s="27" t="s">
        <v>76</v>
      </c>
      <c r="D1248" s="25" t="s">
        <v>194</v>
      </c>
      <c r="E1248" s="25"/>
    </row>
    <row r="1249" spans="1:5" ht="17" x14ac:dyDescent="0.2">
      <c r="A1249" s="26" t="s">
        <v>981</v>
      </c>
      <c r="B1249" s="22">
        <v>2974330</v>
      </c>
      <c r="C1249" s="27" t="s">
        <v>76</v>
      </c>
      <c r="D1249" s="25" t="s">
        <v>195</v>
      </c>
      <c r="E1249" s="25"/>
    </row>
    <row r="1250" spans="1:5" ht="17" x14ac:dyDescent="0.2">
      <c r="A1250" s="26" t="s">
        <v>981</v>
      </c>
      <c r="B1250" s="22">
        <v>2819209</v>
      </c>
      <c r="C1250" s="27" t="s">
        <v>76</v>
      </c>
      <c r="D1250" s="25" t="s">
        <v>1010</v>
      </c>
      <c r="E1250" s="25"/>
    </row>
    <row r="1251" spans="1:5" ht="17" x14ac:dyDescent="0.2">
      <c r="A1251" s="26" t="s">
        <v>981</v>
      </c>
      <c r="B1251" s="22">
        <v>2825695</v>
      </c>
      <c r="C1251" s="27" t="s">
        <v>76</v>
      </c>
      <c r="D1251" s="25" t="s">
        <v>174</v>
      </c>
      <c r="E1251" s="25"/>
    </row>
    <row r="1252" spans="1:5" ht="17" x14ac:dyDescent="0.2">
      <c r="A1252" s="26" t="s">
        <v>981</v>
      </c>
      <c r="B1252" s="22">
        <v>2849189</v>
      </c>
      <c r="C1252" s="27" t="s">
        <v>76</v>
      </c>
      <c r="D1252" s="48" t="s">
        <v>912</v>
      </c>
      <c r="E1252" s="25"/>
    </row>
    <row r="1253" spans="1:5" ht="17" x14ac:dyDescent="0.2">
      <c r="A1253" s="86" t="s">
        <v>1011</v>
      </c>
      <c r="B1253" s="19" t="s">
        <v>10</v>
      </c>
      <c r="C1253" s="19" t="s">
        <v>11</v>
      </c>
      <c r="D1253" s="21" t="s">
        <v>12</v>
      </c>
      <c r="E1253" s="21" t="s">
        <v>13</v>
      </c>
    </row>
    <row r="1254" spans="1:5" ht="17" x14ac:dyDescent="0.2">
      <c r="A1254" s="86" t="s">
        <v>1011</v>
      </c>
      <c r="B1254" s="22">
        <v>786355</v>
      </c>
      <c r="C1254" s="27" t="s">
        <v>14</v>
      </c>
      <c r="D1254" s="25" t="s">
        <v>1012</v>
      </c>
      <c r="E1254" s="25" t="str">
        <f>HYPERLINK("https://www.linkedin.com/learning/paths/become-a-business-operations-associate","Become a Business Operations Associate")</f>
        <v>Become a Business Operations Associate</v>
      </c>
    </row>
    <row r="1255" spans="1:5" ht="17" x14ac:dyDescent="0.2">
      <c r="A1255" s="86" t="s">
        <v>1011</v>
      </c>
      <c r="B1255" s="22">
        <v>616665</v>
      </c>
      <c r="C1255" s="27" t="s">
        <v>14</v>
      </c>
      <c r="D1255" s="25" t="s">
        <v>15</v>
      </c>
      <c r="E1255" s="25" t="s">
        <v>1013</v>
      </c>
    </row>
    <row r="1256" spans="1:5" ht="17" x14ac:dyDescent="0.2">
      <c r="A1256" s="86" t="s">
        <v>1011</v>
      </c>
      <c r="B1256" s="22">
        <v>2825263</v>
      </c>
      <c r="C1256" s="27" t="s">
        <v>14</v>
      </c>
      <c r="D1256" s="25" t="s">
        <v>1014</v>
      </c>
      <c r="E1256" s="25" t="s">
        <v>1015</v>
      </c>
    </row>
    <row r="1257" spans="1:5" ht="17" x14ac:dyDescent="0.2">
      <c r="A1257" s="86" t="s">
        <v>1011</v>
      </c>
      <c r="B1257" s="22">
        <v>2244038</v>
      </c>
      <c r="C1257" s="27" t="s">
        <v>14</v>
      </c>
      <c r="D1257" s="25" t="s">
        <v>1016</v>
      </c>
      <c r="E1257" s="25" t="s">
        <v>1017</v>
      </c>
    </row>
    <row r="1258" spans="1:5" ht="17" x14ac:dyDescent="0.2">
      <c r="A1258" s="86" t="s">
        <v>1011</v>
      </c>
      <c r="B1258" s="22">
        <v>2831004</v>
      </c>
      <c r="C1258" s="27" t="s">
        <v>14</v>
      </c>
      <c r="D1258" s="25" t="s">
        <v>928</v>
      </c>
      <c r="E1258" s="25" t="s">
        <v>1018</v>
      </c>
    </row>
    <row r="1259" spans="1:5" ht="17" x14ac:dyDescent="0.2">
      <c r="A1259" s="86" t="s">
        <v>1011</v>
      </c>
      <c r="B1259" s="29">
        <v>2801188</v>
      </c>
      <c r="C1259" s="27" t="s">
        <v>17</v>
      </c>
      <c r="D1259" s="52" t="str">
        <f>HYPERLINK("https://www.linkedin.com/learning/a3-problem-solving-for-continuous-improvement","A3 Problem Solving for Continuous Improvement")</f>
        <v>A3 Problem Solving for Continuous Improvement</v>
      </c>
      <c r="E1259" s="25" t="str">
        <f>HYPERLINK("https://www.linkedin.com/learning/paths/getting-started-with-microsoft-365","Getting Started with Microsoft 365")</f>
        <v>Getting Started with Microsoft 365</v>
      </c>
    </row>
    <row r="1260" spans="1:5" ht="17" x14ac:dyDescent="0.2">
      <c r="A1260" s="86" t="s">
        <v>1011</v>
      </c>
      <c r="B1260" s="22">
        <v>2811714</v>
      </c>
      <c r="C1260" s="27" t="s">
        <v>17</v>
      </c>
      <c r="D1260" s="25" t="s">
        <v>1019</v>
      </c>
      <c r="E1260" s="25" t="str">
        <f>HYPERLINK("https://www.linkedin.com/learning/paths/stay-competitive-using-design-thinking","Stay Competitive Using Design Thinking")</f>
        <v>Stay Competitive Using Design Thinking</v>
      </c>
    </row>
    <row r="1261" spans="1:5" ht="17" x14ac:dyDescent="0.2">
      <c r="A1261" s="86" t="s">
        <v>1011</v>
      </c>
      <c r="B1261" s="22">
        <v>508618</v>
      </c>
      <c r="C1261" s="27" t="s">
        <v>17</v>
      </c>
      <c r="D1261" s="25" t="s">
        <v>1020</v>
      </c>
      <c r="E1261" s="25" t="s">
        <v>1021</v>
      </c>
    </row>
    <row r="1262" spans="1:5" ht="17" x14ac:dyDescent="0.2">
      <c r="A1262" s="86" t="s">
        <v>1011</v>
      </c>
      <c r="B1262" s="22">
        <v>731733</v>
      </c>
      <c r="C1262" s="27" t="s">
        <v>17</v>
      </c>
      <c r="D1262" s="25" t="s">
        <v>1022</v>
      </c>
      <c r="E1262" s="28"/>
    </row>
    <row r="1263" spans="1:5" ht="17" x14ac:dyDescent="0.2">
      <c r="A1263" s="86" t="s">
        <v>1011</v>
      </c>
      <c r="B1263" s="22">
        <v>774896</v>
      </c>
      <c r="C1263" s="27" t="s">
        <v>17</v>
      </c>
      <c r="D1263" s="25" t="s">
        <v>1023</v>
      </c>
      <c r="E1263" s="28"/>
    </row>
    <row r="1264" spans="1:5" ht="17" x14ac:dyDescent="0.2">
      <c r="A1264" s="86" t="s">
        <v>1011</v>
      </c>
      <c r="B1264" s="22">
        <v>590824</v>
      </c>
      <c r="C1264" s="27" t="s">
        <v>17</v>
      </c>
      <c r="D1264" s="25" t="s">
        <v>1024</v>
      </c>
      <c r="E1264" s="28"/>
    </row>
    <row r="1265" spans="1:5" ht="17" x14ac:dyDescent="0.2">
      <c r="A1265" s="86" t="s">
        <v>1011</v>
      </c>
      <c r="B1265" s="22">
        <v>731734</v>
      </c>
      <c r="C1265" s="27" t="s">
        <v>17</v>
      </c>
      <c r="D1265" s="25" t="s">
        <v>1025</v>
      </c>
      <c r="E1265" s="28"/>
    </row>
    <row r="1266" spans="1:5" ht="17" x14ac:dyDescent="0.2">
      <c r="A1266" s="86" t="s">
        <v>1011</v>
      </c>
      <c r="B1266" s="22">
        <v>386880</v>
      </c>
      <c r="C1266" s="27" t="s">
        <v>17</v>
      </c>
      <c r="D1266" s="25" t="s">
        <v>1026</v>
      </c>
      <c r="E1266" s="28"/>
    </row>
    <row r="1267" spans="1:5" ht="17" x14ac:dyDescent="0.2">
      <c r="A1267" s="86" t="s">
        <v>1011</v>
      </c>
      <c r="B1267" s="22">
        <v>196589</v>
      </c>
      <c r="C1267" s="27" t="s">
        <v>17</v>
      </c>
      <c r="D1267" s="25" t="s">
        <v>1027</v>
      </c>
      <c r="E1267" s="28"/>
    </row>
    <row r="1268" spans="1:5" ht="17" x14ac:dyDescent="0.2">
      <c r="A1268" s="86" t="s">
        <v>1011</v>
      </c>
      <c r="B1268" s="22">
        <v>365729</v>
      </c>
      <c r="C1268" s="27" t="s">
        <v>17</v>
      </c>
      <c r="D1268" s="25" t="s">
        <v>494</v>
      </c>
      <c r="E1268" s="28"/>
    </row>
    <row r="1269" spans="1:5" ht="17" x14ac:dyDescent="0.2">
      <c r="A1269" s="86" t="s">
        <v>1011</v>
      </c>
      <c r="B1269" s="22">
        <v>385661</v>
      </c>
      <c r="C1269" s="27" t="s">
        <v>17</v>
      </c>
      <c r="D1269" s="25" t="s">
        <v>495</v>
      </c>
      <c r="E1269" s="28"/>
    </row>
    <row r="1270" spans="1:5" ht="17" x14ac:dyDescent="0.2">
      <c r="A1270" s="26" t="s">
        <v>1011</v>
      </c>
      <c r="B1270" s="22">
        <v>181730</v>
      </c>
      <c r="C1270" s="27" t="s">
        <v>17</v>
      </c>
      <c r="D1270" s="25" t="s">
        <v>1028</v>
      </c>
      <c r="E1270" s="28"/>
    </row>
    <row r="1271" spans="1:5" ht="17" x14ac:dyDescent="0.2">
      <c r="A1271" s="26" t="s">
        <v>1011</v>
      </c>
      <c r="B1271" s="22">
        <v>2804664</v>
      </c>
      <c r="C1271" s="27" t="s">
        <v>17</v>
      </c>
      <c r="D1271" s="25" t="s">
        <v>602</v>
      </c>
      <c r="E1271" s="28"/>
    </row>
    <row r="1272" spans="1:5" ht="17" x14ac:dyDescent="0.2">
      <c r="A1272" s="26" t="s">
        <v>1011</v>
      </c>
      <c r="B1272" s="22">
        <v>2813303</v>
      </c>
      <c r="C1272" s="27" t="s">
        <v>17</v>
      </c>
      <c r="D1272" s="25" t="s">
        <v>1029</v>
      </c>
      <c r="E1272" s="28"/>
    </row>
    <row r="1273" spans="1:5" ht="17" x14ac:dyDescent="0.2">
      <c r="A1273" s="86" t="s">
        <v>1011</v>
      </c>
      <c r="B1273" s="22">
        <v>2822352</v>
      </c>
      <c r="C1273" s="27" t="s">
        <v>17</v>
      </c>
      <c r="D1273" s="25" t="s">
        <v>1030</v>
      </c>
      <c r="E1273" s="28"/>
    </row>
    <row r="1274" spans="1:5" ht="17" x14ac:dyDescent="0.2">
      <c r="A1274" s="86" t="s">
        <v>1011</v>
      </c>
      <c r="B1274" s="22">
        <v>2823293</v>
      </c>
      <c r="C1274" s="27" t="s">
        <v>17</v>
      </c>
      <c r="D1274" s="25" t="s">
        <v>1031</v>
      </c>
      <c r="E1274" s="28"/>
    </row>
    <row r="1275" spans="1:5" ht="17" x14ac:dyDescent="0.2">
      <c r="A1275" s="86" t="s">
        <v>1011</v>
      </c>
      <c r="B1275" s="22">
        <v>2823296</v>
      </c>
      <c r="C1275" s="27" t="s">
        <v>17</v>
      </c>
      <c r="D1275" s="25" t="s">
        <v>940</v>
      </c>
      <c r="E1275" s="28"/>
    </row>
    <row r="1276" spans="1:5" ht="17" x14ac:dyDescent="0.2">
      <c r="A1276" s="86" t="s">
        <v>1011</v>
      </c>
      <c r="B1276" s="22">
        <v>2823298</v>
      </c>
      <c r="C1276" s="27" t="s">
        <v>17</v>
      </c>
      <c r="D1276" s="25" t="s">
        <v>1032</v>
      </c>
      <c r="E1276" s="28"/>
    </row>
    <row r="1277" spans="1:5" ht="17" x14ac:dyDescent="0.2">
      <c r="A1277" s="86" t="s">
        <v>1011</v>
      </c>
      <c r="B1277" s="22">
        <v>2824205</v>
      </c>
      <c r="C1277" s="27" t="s">
        <v>17</v>
      </c>
      <c r="D1277" s="25" t="s">
        <v>1033</v>
      </c>
      <c r="E1277" s="28"/>
    </row>
    <row r="1278" spans="1:5" ht="17" x14ac:dyDescent="0.2">
      <c r="A1278" s="86" t="s">
        <v>1011</v>
      </c>
      <c r="B1278" s="22">
        <v>2825379</v>
      </c>
      <c r="C1278" s="27" t="s">
        <v>17</v>
      </c>
      <c r="D1278" s="25" t="s">
        <v>1034</v>
      </c>
      <c r="E1278" s="28"/>
    </row>
    <row r="1279" spans="1:5" ht="17" x14ac:dyDescent="0.2">
      <c r="A1279" s="86" t="s">
        <v>1011</v>
      </c>
      <c r="B1279" s="22">
        <v>2815157</v>
      </c>
      <c r="C1279" s="27" t="s">
        <v>17</v>
      </c>
      <c r="D1279" s="25" t="s">
        <v>114</v>
      </c>
      <c r="E1279" s="28"/>
    </row>
    <row r="1280" spans="1:5" ht="17" x14ac:dyDescent="0.2">
      <c r="A1280" s="86" t="s">
        <v>1011</v>
      </c>
      <c r="B1280" s="22">
        <v>2852006</v>
      </c>
      <c r="C1280" s="27" t="s">
        <v>17</v>
      </c>
      <c r="D1280" s="25" t="s">
        <v>1035</v>
      </c>
      <c r="E1280" s="28"/>
    </row>
    <row r="1281" spans="1:5" ht="17" x14ac:dyDescent="0.2">
      <c r="A1281" s="86" t="s">
        <v>1011</v>
      </c>
      <c r="B1281" s="22">
        <v>2813257</v>
      </c>
      <c r="C1281" s="27" t="s">
        <v>70</v>
      </c>
      <c r="D1281" s="52" t="str">
        <f>HYPERLINK("https://www.linkedin.com/learning/revenue-staffing-and-expense-models-explained","Revenue, Staffing, and Expense Models Explained")</f>
        <v>Revenue, Staffing, and Expense Models Explained</v>
      </c>
      <c r="E1281" s="28"/>
    </row>
    <row r="1282" spans="1:5" ht="17" x14ac:dyDescent="0.2">
      <c r="A1282" s="86" t="s">
        <v>1011</v>
      </c>
      <c r="B1282" s="22">
        <v>2813258</v>
      </c>
      <c r="C1282" s="27" t="s">
        <v>70</v>
      </c>
      <c r="D1282" s="25" t="s">
        <v>1036</v>
      </c>
      <c r="E1282" s="28"/>
    </row>
    <row r="1283" spans="1:5" ht="17" x14ac:dyDescent="0.2">
      <c r="A1283" s="86" t="s">
        <v>1011</v>
      </c>
      <c r="B1283" s="22">
        <v>2823199</v>
      </c>
      <c r="C1283" s="27" t="s">
        <v>70</v>
      </c>
      <c r="D1283" s="25" t="s">
        <v>534</v>
      </c>
      <c r="E1283" s="28"/>
    </row>
    <row r="1284" spans="1:5" ht="17" x14ac:dyDescent="0.2">
      <c r="A1284" s="86" t="s">
        <v>1011</v>
      </c>
      <c r="B1284" s="22">
        <v>5005054</v>
      </c>
      <c r="C1284" s="30" t="s">
        <v>70</v>
      </c>
      <c r="D1284" s="25" t="s">
        <v>1037</v>
      </c>
      <c r="E1284" s="28"/>
    </row>
    <row r="1285" spans="1:5" ht="17" x14ac:dyDescent="0.2">
      <c r="A1285" s="86" t="s">
        <v>1011</v>
      </c>
      <c r="B1285" s="22">
        <v>672235</v>
      </c>
      <c r="C1285" s="30" t="s">
        <v>70</v>
      </c>
      <c r="D1285" s="87" t="str">
        <f>HYPERLINK("https://www.linkedin.com/learning/supply-chain-and-operations-management-weekly-tips","Supply Chain and Operations Management Tips")</f>
        <v>Supply Chain and Operations Management Tips</v>
      </c>
      <c r="E1285" s="28"/>
    </row>
    <row r="1286" spans="1:5" ht="17" x14ac:dyDescent="0.2">
      <c r="A1286" s="86" t="s">
        <v>1011</v>
      </c>
      <c r="B1286" s="22">
        <v>2833091</v>
      </c>
      <c r="C1286" s="27" t="s">
        <v>70</v>
      </c>
      <c r="D1286" s="25" t="s">
        <v>459</v>
      </c>
      <c r="E1286" s="28"/>
    </row>
    <row r="1287" spans="1:5" ht="17" x14ac:dyDescent="0.2">
      <c r="A1287" s="86" t="s">
        <v>1011</v>
      </c>
      <c r="B1287" s="22">
        <v>2840016</v>
      </c>
      <c r="C1287" s="27" t="s">
        <v>70</v>
      </c>
      <c r="D1287" s="25" t="s">
        <v>460</v>
      </c>
      <c r="E1287" s="28"/>
    </row>
    <row r="1288" spans="1:5" ht="17" x14ac:dyDescent="0.2">
      <c r="A1288" s="86" t="s">
        <v>1011</v>
      </c>
      <c r="B1288" s="22">
        <v>2809588</v>
      </c>
      <c r="C1288" s="51" t="s">
        <v>84</v>
      </c>
      <c r="D1288" s="25" t="s">
        <v>1038</v>
      </c>
      <c r="E1288" s="28"/>
    </row>
    <row r="1289" spans="1:5" ht="17" x14ac:dyDescent="0.2">
      <c r="A1289" s="86" t="s">
        <v>1011</v>
      </c>
      <c r="B1289" s="22">
        <v>2839009</v>
      </c>
      <c r="C1289" s="51" t="s">
        <v>84</v>
      </c>
      <c r="D1289" s="25" t="s">
        <v>1039</v>
      </c>
      <c r="E1289" s="28"/>
    </row>
    <row r="1290" spans="1:5" ht="17" x14ac:dyDescent="0.2">
      <c r="A1290" s="86" t="s">
        <v>1011</v>
      </c>
      <c r="B1290" s="22">
        <v>647659</v>
      </c>
      <c r="C1290" s="51" t="s">
        <v>84</v>
      </c>
      <c r="D1290" s="25" t="s">
        <v>1040</v>
      </c>
      <c r="E1290" s="28"/>
    </row>
    <row r="1291" spans="1:5" ht="17" x14ac:dyDescent="0.2">
      <c r="A1291" s="86" t="s">
        <v>1011</v>
      </c>
      <c r="B1291" s="29">
        <v>2807102</v>
      </c>
      <c r="C1291" s="51" t="s">
        <v>84</v>
      </c>
      <c r="D1291" s="58" t="str">
        <f>HYPERLINK("https://www.linkedin.com/learning/supply-chain-and-operations-careers-certification-tips-and-tricks/supply-chain-certifications","Supply Chain and Operations Careers: Certification Tips and Tricks")</f>
        <v>Supply Chain and Operations Careers: Certification Tips and Tricks</v>
      </c>
      <c r="E1291" s="28"/>
    </row>
    <row r="1292" spans="1:5" ht="17" x14ac:dyDescent="0.2">
      <c r="A1292" s="86" t="s">
        <v>1011</v>
      </c>
      <c r="B1292" s="22">
        <v>2835087</v>
      </c>
      <c r="C1292" s="27" t="s">
        <v>84</v>
      </c>
      <c r="D1292" s="25" t="s">
        <v>1041</v>
      </c>
      <c r="E1292" s="28"/>
    </row>
    <row r="1293" spans="1:5" ht="17" x14ac:dyDescent="0.2">
      <c r="A1293" s="86" t="s">
        <v>1011</v>
      </c>
      <c r="B1293" s="22">
        <v>2841399</v>
      </c>
      <c r="C1293" s="27" t="s">
        <v>84</v>
      </c>
      <c r="D1293" s="25" t="s">
        <v>476</v>
      </c>
      <c r="E1293" s="28"/>
    </row>
    <row r="1294" spans="1:5" ht="17" x14ac:dyDescent="0.2">
      <c r="A1294" s="86" t="s">
        <v>1011</v>
      </c>
      <c r="B1294" s="22">
        <v>2822695</v>
      </c>
      <c r="C1294" s="27" t="s">
        <v>76</v>
      </c>
      <c r="D1294" s="87" t="s">
        <v>1042</v>
      </c>
      <c r="E1294" s="28"/>
    </row>
    <row r="1295" spans="1:5" ht="17" x14ac:dyDescent="0.2">
      <c r="A1295" s="86" t="s">
        <v>1011</v>
      </c>
      <c r="B1295" s="22">
        <v>786354</v>
      </c>
      <c r="C1295" s="27" t="s">
        <v>76</v>
      </c>
      <c r="D1295" s="25" t="s">
        <v>1043</v>
      </c>
      <c r="E1295" s="28"/>
    </row>
    <row r="1296" spans="1:5" ht="17" x14ac:dyDescent="0.2">
      <c r="A1296" s="86" t="s">
        <v>1011</v>
      </c>
      <c r="B1296" s="22">
        <v>622078</v>
      </c>
      <c r="C1296" s="27" t="s">
        <v>76</v>
      </c>
      <c r="D1296" s="25" t="s">
        <v>1044</v>
      </c>
      <c r="E1296" s="28"/>
    </row>
    <row r="1297" spans="1:5" ht="17" x14ac:dyDescent="0.2">
      <c r="A1297" s="86" t="s">
        <v>1011</v>
      </c>
      <c r="B1297" s="22">
        <v>2841547</v>
      </c>
      <c r="C1297" s="27" t="s">
        <v>76</v>
      </c>
      <c r="D1297" s="25" t="s">
        <v>477</v>
      </c>
      <c r="E1297" s="28"/>
    </row>
    <row r="1298" spans="1:5" ht="17" x14ac:dyDescent="0.2">
      <c r="A1298" s="86" t="s">
        <v>1011</v>
      </c>
      <c r="B1298" s="22">
        <v>2849197</v>
      </c>
      <c r="C1298" s="27" t="s">
        <v>76</v>
      </c>
      <c r="D1298" s="25" t="s">
        <v>1045</v>
      </c>
      <c r="E1298" s="28"/>
    </row>
    <row r="1299" spans="1:5" ht="17" x14ac:dyDescent="0.2">
      <c r="A1299" s="86" t="s">
        <v>1011</v>
      </c>
      <c r="B1299" s="22">
        <v>2848248</v>
      </c>
      <c r="C1299" s="27" t="s">
        <v>76</v>
      </c>
      <c r="D1299" s="25" t="s">
        <v>425</v>
      </c>
      <c r="E1299" s="28"/>
    </row>
    <row r="1300" spans="1:5" ht="17" x14ac:dyDescent="0.2">
      <c r="A1300" s="86" t="s">
        <v>1011</v>
      </c>
      <c r="B1300" s="22">
        <v>2856077</v>
      </c>
      <c r="C1300" s="27" t="s">
        <v>76</v>
      </c>
      <c r="D1300" s="25" t="s">
        <v>633</v>
      </c>
      <c r="E1300" s="28"/>
    </row>
    <row r="1301" spans="1:5" ht="17" x14ac:dyDescent="0.2">
      <c r="A1301" s="86" t="s">
        <v>1011</v>
      </c>
      <c r="B1301" s="22">
        <v>560126</v>
      </c>
      <c r="C1301" s="27" t="s">
        <v>76</v>
      </c>
      <c r="D1301" s="25" t="s">
        <v>1046</v>
      </c>
      <c r="E1301" s="28"/>
    </row>
    <row r="1302" spans="1:5" ht="17" x14ac:dyDescent="0.2">
      <c r="A1302" s="86" t="s">
        <v>1011</v>
      </c>
      <c r="B1302" s="22">
        <v>724788</v>
      </c>
      <c r="C1302" s="27" t="s">
        <v>76</v>
      </c>
      <c r="D1302" s="25" t="s">
        <v>1047</v>
      </c>
      <c r="E1302" s="28"/>
    </row>
    <row r="1303" spans="1:5" ht="17" x14ac:dyDescent="0.2">
      <c r="A1303" s="86" t="s">
        <v>1011</v>
      </c>
      <c r="B1303" s="22">
        <v>721924</v>
      </c>
      <c r="C1303" s="27" t="s">
        <v>76</v>
      </c>
      <c r="D1303" s="25" t="s">
        <v>1048</v>
      </c>
      <c r="E1303" s="28"/>
    </row>
    <row r="1304" spans="1:5" ht="17" x14ac:dyDescent="0.2">
      <c r="A1304" s="86" t="s">
        <v>1011</v>
      </c>
      <c r="B1304" s="22">
        <v>721919</v>
      </c>
      <c r="C1304" s="27" t="s">
        <v>76</v>
      </c>
      <c r="D1304" s="25" t="s">
        <v>1049</v>
      </c>
      <c r="E1304" s="28"/>
    </row>
    <row r="1305" spans="1:5" ht="17" x14ac:dyDescent="0.2">
      <c r="A1305" s="86" t="s">
        <v>1011</v>
      </c>
      <c r="B1305" s="22">
        <v>737769</v>
      </c>
      <c r="C1305" s="27" t="s">
        <v>76</v>
      </c>
      <c r="D1305" s="34" t="s">
        <v>1050</v>
      </c>
      <c r="E1305" s="28"/>
    </row>
    <row r="1306" spans="1:5" ht="17" x14ac:dyDescent="0.2">
      <c r="A1306" s="86" t="s">
        <v>1011</v>
      </c>
      <c r="B1306" s="22">
        <v>774892</v>
      </c>
      <c r="C1306" s="27" t="s">
        <v>76</v>
      </c>
      <c r="D1306" s="34" t="s">
        <v>1051</v>
      </c>
      <c r="E1306" s="28"/>
    </row>
    <row r="1307" spans="1:5" ht="17" x14ac:dyDescent="0.2">
      <c r="A1307" s="86" t="s">
        <v>1011</v>
      </c>
      <c r="B1307" s="22">
        <v>628691</v>
      </c>
      <c r="C1307" s="27" t="s">
        <v>76</v>
      </c>
      <c r="D1307" s="25" t="s">
        <v>1052</v>
      </c>
      <c r="E1307" s="28"/>
    </row>
    <row r="1308" spans="1:5" ht="17" x14ac:dyDescent="0.2">
      <c r="A1308" s="86" t="s">
        <v>1011</v>
      </c>
      <c r="B1308" s="22">
        <v>396669</v>
      </c>
      <c r="C1308" s="27" t="s">
        <v>76</v>
      </c>
      <c r="D1308" s="25" t="s">
        <v>1053</v>
      </c>
      <c r="E1308" s="28"/>
    </row>
    <row r="1309" spans="1:5" ht="17" x14ac:dyDescent="0.2">
      <c r="A1309" s="86" t="s">
        <v>1011</v>
      </c>
      <c r="B1309" s="22">
        <v>550748</v>
      </c>
      <c r="C1309" s="27" t="s">
        <v>76</v>
      </c>
      <c r="D1309" s="25" t="s">
        <v>1054</v>
      </c>
      <c r="E1309" s="28"/>
    </row>
    <row r="1310" spans="1:5" ht="17" x14ac:dyDescent="0.2">
      <c r="A1310" s="86" t="s">
        <v>1011</v>
      </c>
      <c r="B1310" s="22">
        <v>550747</v>
      </c>
      <c r="C1310" s="27" t="s">
        <v>76</v>
      </c>
      <c r="D1310" s="25" t="s">
        <v>1055</v>
      </c>
      <c r="E1310" s="28"/>
    </row>
    <row r="1311" spans="1:5" ht="17" x14ac:dyDescent="0.2">
      <c r="A1311" s="86" t="s">
        <v>1011</v>
      </c>
      <c r="B1311" s="22">
        <v>431182</v>
      </c>
      <c r="C1311" s="27" t="s">
        <v>76</v>
      </c>
      <c r="D1311" s="25" t="s">
        <v>916</v>
      </c>
      <c r="E1311" s="28"/>
    </row>
    <row r="1312" spans="1:5" ht="17" x14ac:dyDescent="0.2">
      <c r="A1312" s="86" t="s">
        <v>1011</v>
      </c>
      <c r="B1312" s="22">
        <v>2805121</v>
      </c>
      <c r="C1312" s="27" t="s">
        <v>76</v>
      </c>
      <c r="D1312" s="25" t="s">
        <v>746</v>
      </c>
      <c r="E1312" s="28"/>
    </row>
    <row r="1313" spans="1:5" ht="17" x14ac:dyDescent="0.2">
      <c r="A1313" s="86" t="s">
        <v>1011</v>
      </c>
      <c r="B1313" s="22">
        <v>2816033</v>
      </c>
      <c r="C1313" s="27" t="s">
        <v>76</v>
      </c>
      <c r="D1313" s="25" t="s">
        <v>1056</v>
      </c>
      <c r="E1313" s="28"/>
    </row>
    <row r="1314" spans="1:5" ht="17" x14ac:dyDescent="0.2">
      <c r="A1314" s="86" t="s">
        <v>1011</v>
      </c>
      <c r="B1314" s="22">
        <v>2819026</v>
      </c>
      <c r="C1314" s="27" t="s">
        <v>76</v>
      </c>
      <c r="D1314" s="25" t="s">
        <v>1057</v>
      </c>
      <c r="E1314" s="28"/>
    </row>
    <row r="1315" spans="1:5" ht="17" x14ac:dyDescent="0.2">
      <c r="A1315" s="86" t="s">
        <v>1011</v>
      </c>
      <c r="B1315" s="22">
        <v>2823100</v>
      </c>
      <c r="C1315" s="27" t="s">
        <v>76</v>
      </c>
      <c r="D1315" s="25" t="s">
        <v>744</v>
      </c>
      <c r="E1315" s="28"/>
    </row>
    <row r="1316" spans="1:5" ht="17" x14ac:dyDescent="0.2">
      <c r="A1316" s="86" t="s">
        <v>1011</v>
      </c>
      <c r="B1316" s="22">
        <v>2813150</v>
      </c>
      <c r="C1316" s="27" t="s">
        <v>76</v>
      </c>
      <c r="D1316" s="25" t="s">
        <v>1058</v>
      </c>
      <c r="E1316" s="28"/>
    </row>
    <row r="1317" spans="1:5" ht="17" x14ac:dyDescent="0.2">
      <c r="A1317" s="86" t="s">
        <v>1011</v>
      </c>
      <c r="B1317" s="22">
        <v>2825499</v>
      </c>
      <c r="C1317" s="27" t="s">
        <v>76</v>
      </c>
      <c r="D1317" s="25" t="s">
        <v>979</v>
      </c>
      <c r="E1317" s="28"/>
    </row>
    <row r="1318" spans="1:5" ht="17" x14ac:dyDescent="0.2">
      <c r="A1318" s="86" t="s">
        <v>1011</v>
      </c>
      <c r="B1318" s="22">
        <v>2824053</v>
      </c>
      <c r="C1318" s="27" t="s">
        <v>76</v>
      </c>
      <c r="D1318" s="25" t="s">
        <v>1059</v>
      </c>
      <c r="E1318" s="28"/>
    </row>
    <row r="1319" spans="1:5" ht="17" x14ac:dyDescent="0.2">
      <c r="A1319" s="86" t="s">
        <v>1011</v>
      </c>
      <c r="B1319" s="22">
        <v>5019813</v>
      </c>
      <c r="C1319" s="27" t="s">
        <v>76</v>
      </c>
      <c r="D1319" s="25" t="s">
        <v>654</v>
      </c>
      <c r="E1319" s="28"/>
    </row>
    <row r="1320" spans="1:5" ht="17" x14ac:dyDescent="0.2">
      <c r="A1320" s="86" t="s">
        <v>1011</v>
      </c>
      <c r="B1320" s="22">
        <v>2832012</v>
      </c>
      <c r="C1320" s="27" t="s">
        <v>76</v>
      </c>
      <c r="D1320" s="25" t="s">
        <v>1060</v>
      </c>
      <c r="E1320" s="28"/>
    </row>
    <row r="1321" spans="1:5" ht="17" x14ac:dyDescent="0.2">
      <c r="A1321" s="86" t="s">
        <v>1011</v>
      </c>
      <c r="B1321" s="22">
        <v>2832013</v>
      </c>
      <c r="C1321" s="27" t="s">
        <v>76</v>
      </c>
      <c r="D1321" s="25" t="s">
        <v>1061</v>
      </c>
      <c r="E1321" s="28"/>
    </row>
    <row r="1322" spans="1:5" ht="17" x14ac:dyDescent="0.2">
      <c r="A1322" s="31" t="s">
        <v>1062</v>
      </c>
      <c r="B1322" s="19" t="s">
        <v>10</v>
      </c>
      <c r="C1322" s="19" t="s">
        <v>11</v>
      </c>
      <c r="D1322" s="21" t="s">
        <v>12</v>
      </c>
      <c r="E1322" s="21" t="s">
        <v>13</v>
      </c>
    </row>
    <row r="1323" spans="1:5" ht="17" x14ac:dyDescent="0.2">
      <c r="A1323" s="31" t="s">
        <v>1062</v>
      </c>
      <c r="B1323" s="22">
        <v>612163</v>
      </c>
      <c r="C1323" s="27" t="s">
        <v>17</v>
      </c>
      <c r="D1323" s="25" t="s">
        <v>1063</v>
      </c>
      <c r="E1323" s="25" t="s">
        <v>1064</v>
      </c>
    </row>
    <row r="1324" spans="1:5" ht="17" x14ac:dyDescent="0.2">
      <c r="A1324" s="31" t="s">
        <v>1062</v>
      </c>
      <c r="B1324" s="22">
        <v>612161</v>
      </c>
      <c r="C1324" s="27" t="s">
        <v>17</v>
      </c>
      <c r="D1324" s="25" t="s">
        <v>1065</v>
      </c>
      <c r="E1324" s="25" t="s">
        <v>1066</v>
      </c>
    </row>
    <row r="1325" spans="1:5" ht="17" x14ac:dyDescent="0.2">
      <c r="A1325" s="31" t="s">
        <v>1062</v>
      </c>
      <c r="B1325" s="22">
        <v>706912</v>
      </c>
      <c r="C1325" s="27" t="s">
        <v>17</v>
      </c>
      <c r="D1325" s="25" t="s">
        <v>1067</v>
      </c>
      <c r="E1325" s="25" t="str">
        <f>HYPERLINK("https://www.linkedin.com/learning/paths/visual-communication-for-business-professionals","Visual Communication for Business Professionals")</f>
        <v>Visual Communication for Business Professionals</v>
      </c>
    </row>
    <row r="1326" spans="1:5" ht="17" x14ac:dyDescent="0.2">
      <c r="A1326" s="31" t="s">
        <v>1062</v>
      </c>
      <c r="B1326" s="22">
        <v>430075</v>
      </c>
      <c r="C1326" s="27" t="s">
        <v>17</v>
      </c>
      <c r="D1326" s="25" t="s">
        <v>1068</v>
      </c>
      <c r="E1326" s="25" t="str">
        <f>HYPERLINK("https://www.linkedin.com/learning/paths/getting-started-with-microsoft-powerpoint","Getting Started with Microsoft PowerPoint")</f>
        <v>Getting Started with Microsoft PowerPoint</v>
      </c>
    </row>
    <row r="1327" spans="1:5" ht="17" x14ac:dyDescent="0.2">
      <c r="A1327" s="31" t="s">
        <v>1062</v>
      </c>
      <c r="B1327" s="22">
        <v>748565</v>
      </c>
      <c r="C1327" s="27" t="s">
        <v>17</v>
      </c>
      <c r="D1327" s="25" t="s">
        <v>1069</v>
      </c>
      <c r="E1327" s="25" t="str">
        <f>HYPERLINK("https://www.linkedin.com/learning/paths/visual-communication-for-business-professionals","Visual Communication for Business Professionals")</f>
        <v>Visual Communication for Business Professionals</v>
      </c>
    </row>
    <row r="1328" spans="1:5" ht="17" x14ac:dyDescent="0.2">
      <c r="A1328" s="26" t="s">
        <v>1062</v>
      </c>
      <c r="B1328" s="22">
        <v>512778</v>
      </c>
      <c r="C1328" s="27" t="s">
        <v>17</v>
      </c>
      <c r="D1328" s="25" t="s">
        <v>1070</v>
      </c>
      <c r="E1328" s="28"/>
    </row>
    <row r="1329" spans="1:5" ht="17" x14ac:dyDescent="0.2">
      <c r="A1329" s="26" t="s">
        <v>1062</v>
      </c>
      <c r="B1329" s="22">
        <v>5016700</v>
      </c>
      <c r="C1329" s="27" t="s">
        <v>17</v>
      </c>
      <c r="D1329" s="25" t="s">
        <v>1071</v>
      </c>
      <c r="E1329" s="28"/>
    </row>
    <row r="1330" spans="1:5" ht="17" x14ac:dyDescent="0.2">
      <c r="A1330" s="31" t="s">
        <v>1062</v>
      </c>
      <c r="B1330" s="22">
        <v>706911</v>
      </c>
      <c r="C1330" s="27" t="s">
        <v>17</v>
      </c>
      <c r="D1330" s="25" t="s">
        <v>1072</v>
      </c>
      <c r="E1330" s="28"/>
    </row>
    <row r="1331" spans="1:5" ht="17" x14ac:dyDescent="0.2">
      <c r="A1331" s="31" t="s">
        <v>1062</v>
      </c>
      <c r="B1331" s="22">
        <v>124071</v>
      </c>
      <c r="C1331" s="27" t="s">
        <v>17</v>
      </c>
      <c r="D1331" s="25" t="s">
        <v>1073</v>
      </c>
      <c r="E1331" s="28"/>
    </row>
    <row r="1332" spans="1:5" ht="17" x14ac:dyDescent="0.2">
      <c r="A1332" s="31" t="s">
        <v>1062</v>
      </c>
      <c r="B1332" s="22">
        <v>2812533</v>
      </c>
      <c r="C1332" s="27" t="s">
        <v>17</v>
      </c>
      <c r="D1332" s="25" t="s">
        <v>262</v>
      </c>
      <c r="E1332" s="28"/>
    </row>
    <row r="1333" spans="1:5" ht="17" x14ac:dyDescent="0.2">
      <c r="A1333" s="31" t="s">
        <v>1062</v>
      </c>
      <c r="B1333" s="22">
        <v>2817015</v>
      </c>
      <c r="C1333" s="27" t="s">
        <v>17</v>
      </c>
      <c r="D1333" s="25" t="s">
        <v>1074</v>
      </c>
      <c r="E1333" s="28"/>
    </row>
    <row r="1334" spans="1:5" ht="17" x14ac:dyDescent="0.2">
      <c r="A1334" s="31" t="s">
        <v>1062</v>
      </c>
      <c r="B1334" s="22">
        <v>2813181</v>
      </c>
      <c r="C1334" s="27" t="s">
        <v>17</v>
      </c>
      <c r="D1334" s="25" t="s">
        <v>1075</v>
      </c>
      <c r="E1334" s="28"/>
    </row>
    <row r="1335" spans="1:5" ht="17" x14ac:dyDescent="0.2">
      <c r="A1335" s="31" t="s">
        <v>1062</v>
      </c>
      <c r="B1335" s="22">
        <v>2819070</v>
      </c>
      <c r="C1335" s="27" t="s">
        <v>17</v>
      </c>
      <c r="D1335" s="25" t="s">
        <v>1076</v>
      </c>
      <c r="E1335" s="28"/>
    </row>
    <row r="1336" spans="1:5" ht="17" x14ac:dyDescent="0.2">
      <c r="A1336" s="31" t="s">
        <v>1062</v>
      </c>
      <c r="B1336" s="22">
        <v>2822372</v>
      </c>
      <c r="C1336" s="27" t="s">
        <v>17</v>
      </c>
      <c r="D1336" s="25" t="s">
        <v>1077</v>
      </c>
      <c r="E1336" s="28"/>
    </row>
    <row r="1337" spans="1:5" ht="17" x14ac:dyDescent="0.2">
      <c r="A1337" s="31" t="s">
        <v>1062</v>
      </c>
      <c r="B1337" s="22">
        <v>2824177</v>
      </c>
      <c r="C1337" s="27" t="s">
        <v>17</v>
      </c>
      <c r="D1337" s="25" t="s">
        <v>1078</v>
      </c>
      <c r="E1337" s="28"/>
    </row>
    <row r="1338" spans="1:5" ht="17" x14ac:dyDescent="0.2">
      <c r="A1338" s="31" t="s">
        <v>1062</v>
      </c>
      <c r="B1338" s="67">
        <v>2823568</v>
      </c>
      <c r="C1338" s="27" t="s">
        <v>17</v>
      </c>
      <c r="D1338" s="25" t="s">
        <v>673</v>
      </c>
      <c r="E1338" s="28"/>
    </row>
    <row r="1339" spans="1:5" ht="17" x14ac:dyDescent="0.2">
      <c r="A1339" s="26" t="s">
        <v>1062</v>
      </c>
      <c r="B1339" s="67">
        <v>2875044</v>
      </c>
      <c r="C1339" s="30" t="s">
        <v>17</v>
      </c>
      <c r="D1339" s="25" t="s">
        <v>1079</v>
      </c>
      <c r="E1339" s="28"/>
    </row>
    <row r="1340" spans="1:5" ht="17" x14ac:dyDescent="0.2">
      <c r="A1340" s="26" t="s">
        <v>1062</v>
      </c>
      <c r="B1340" s="67">
        <v>2869052</v>
      </c>
      <c r="C1340" s="30" t="s">
        <v>17</v>
      </c>
      <c r="D1340" s="25" t="s">
        <v>1080</v>
      </c>
      <c r="E1340" s="28"/>
    </row>
    <row r="1341" spans="1:5" ht="17" x14ac:dyDescent="0.2">
      <c r="A1341" s="31" t="s">
        <v>1062</v>
      </c>
      <c r="B1341" s="67">
        <v>2816032</v>
      </c>
      <c r="C1341" s="27" t="s">
        <v>70</v>
      </c>
      <c r="D1341" s="25" t="s">
        <v>275</v>
      </c>
      <c r="E1341" s="28"/>
    </row>
    <row r="1342" spans="1:5" ht="17" x14ac:dyDescent="0.2">
      <c r="A1342" s="31" t="s">
        <v>1062</v>
      </c>
      <c r="B1342" s="67">
        <v>2802036</v>
      </c>
      <c r="C1342" s="30" t="s">
        <v>70</v>
      </c>
      <c r="D1342" s="25" t="s">
        <v>1081</v>
      </c>
      <c r="E1342" s="28"/>
    </row>
    <row r="1343" spans="1:5" ht="17" x14ac:dyDescent="0.2">
      <c r="A1343" s="31" t="s">
        <v>1062</v>
      </c>
      <c r="B1343" s="67">
        <v>693078</v>
      </c>
      <c r="C1343" s="30" t="s">
        <v>70</v>
      </c>
      <c r="D1343" s="25" t="s">
        <v>1082</v>
      </c>
      <c r="E1343" s="28"/>
    </row>
    <row r="1344" spans="1:5" ht="17" x14ac:dyDescent="0.2">
      <c r="A1344" s="31" t="s">
        <v>1062</v>
      </c>
      <c r="B1344" s="67">
        <v>375928</v>
      </c>
      <c r="C1344" s="30" t="s">
        <v>70</v>
      </c>
      <c r="D1344" s="25" t="s">
        <v>1083</v>
      </c>
      <c r="E1344" s="28"/>
    </row>
    <row r="1345" spans="1:5" ht="17" x14ac:dyDescent="0.2">
      <c r="A1345" s="31" t="s">
        <v>1062</v>
      </c>
      <c r="B1345" s="67">
        <v>740357</v>
      </c>
      <c r="C1345" s="30" t="s">
        <v>70</v>
      </c>
      <c r="D1345" s="25" t="s">
        <v>1084</v>
      </c>
      <c r="E1345" s="28"/>
    </row>
    <row r="1346" spans="1:5" ht="17" x14ac:dyDescent="0.2">
      <c r="A1346" s="31" t="s">
        <v>1062</v>
      </c>
      <c r="B1346" s="67">
        <v>740358</v>
      </c>
      <c r="C1346" s="30" t="s">
        <v>70</v>
      </c>
      <c r="D1346" s="48" t="s">
        <v>1085</v>
      </c>
      <c r="E1346" s="28"/>
    </row>
    <row r="1347" spans="1:5" ht="17" x14ac:dyDescent="0.2">
      <c r="A1347" s="31" t="s">
        <v>1062</v>
      </c>
      <c r="B1347" s="67">
        <v>2822089</v>
      </c>
      <c r="C1347" s="30" t="s">
        <v>84</v>
      </c>
      <c r="D1347" s="25" t="s">
        <v>1086</v>
      </c>
      <c r="E1347" s="28"/>
    </row>
    <row r="1348" spans="1:5" ht="17" x14ac:dyDescent="0.2">
      <c r="A1348" s="31" t="s">
        <v>1062</v>
      </c>
      <c r="B1348" s="67">
        <v>2818087</v>
      </c>
      <c r="C1348" s="30" t="s">
        <v>84</v>
      </c>
      <c r="D1348" s="25" t="s">
        <v>1087</v>
      </c>
      <c r="E1348" s="28"/>
    </row>
    <row r="1349" spans="1:5" ht="17" x14ac:dyDescent="0.2">
      <c r="A1349" s="31" t="s">
        <v>1062</v>
      </c>
      <c r="B1349" s="67">
        <v>2836016</v>
      </c>
      <c r="C1349" s="30" t="s">
        <v>84</v>
      </c>
      <c r="D1349" s="25" t="s">
        <v>281</v>
      </c>
      <c r="E1349" s="28"/>
    </row>
    <row r="1350" spans="1:5" ht="17" x14ac:dyDescent="0.2">
      <c r="A1350" s="31" t="s">
        <v>1062</v>
      </c>
      <c r="B1350" s="67">
        <v>359601</v>
      </c>
      <c r="C1350" s="30" t="s">
        <v>84</v>
      </c>
      <c r="D1350" s="25" t="s">
        <v>249</v>
      </c>
      <c r="E1350" s="28"/>
    </row>
    <row r="1351" spans="1:5" ht="17" x14ac:dyDescent="0.2">
      <c r="A1351" s="31" t="s">
        <v>1062</v>
      </c>
      <c r="B1351" s="67">
        <v>2857061</v>
      </c>
      <c r="C1351" s="30" t="s">
        <v>84</v>
      </c>
      <c r="D1351" s="25" t="s">
        <v>291</v>
      </c>
      <c r="E1351" s="28"/>
    </row>
    <row r="1352" spans="1:5" ht="17" x14ac:dyDescent="0.2">
      <c r="A1352" s="31" t="s">
        <v>1062</v>
      </c>
      <c r="B1352" s="67">
        <v>2832065</v>
      </c>
      <c r="C1352" s="30" t="s">
        <v>84</v>
      </c>
      <c r="D1352" s="25" t="s">
        <v>1088</v>
      </c>
      <c r="E1352" s="28"/>
    </row>
    <row r="1353" spans="1:5" ht="17" x14ac:dyDescent="0.2">
      <c r="A1353" s="31" t="s">
        <v>1062</v>
      </c>
      <c r="B1353" s="67">
        <v>2825741</v>
      </c>
      <c r="C1353" s="30" t="s">
        <v>84</v>
      </c>
      <c r="D1353" s="25" t="s">
        <v>1089</v>
      </c>
      <c r="E1353" s="28"/>
    </row>
    <row r="1354" spans="1:5" ht="17" x14ac:dyDescent="0.2">
      <c r="A1354" s="31" t="s">
        <v>1062</v>
      </c>
      <c r="B1354" s="67">
        <v>2353949</v>
      </c>
      <c r="C1354" s="30" t="s">
        <v>84</v>
      </c>
      <c r="D1354" s="25" t="s">
        <v>287</v>
      </c>
      <c r="E1354" s="28"/>
    </row>
    <row r="1355" spans="1:5" ht="17" x14ac:dyDescent="0.2">
      <c r="A1355" s="31" t="s">
        <v>1062</v>
      </c>
      <c r="B1355" s="67">
        <v>786358</v>
      </c>
      <c r="C1355" s="30" t="s">
        <v>84</v>
      </c>
      <c r="D1355" s="25" t="s">
        <v>1090</v>
      </c>
      <c r="E1355" s="28"/>
    </row>
    <row r="1356" spans="1:5" ht="17" x14ac:dyDescent="0.2">
      <c r="A1356" s="31" t="s">
        <v>1062</v>
      </c>
      <c r="B1356" s="67">
        <v>580630</v>
      </c>
      <c r="C1356" s="30" t="s">
        <v>84</v>
      </c>
      <c r="D1356" s="25" t="s">
        <v>1091</v>
      </c>
      <c r="E1356" s="28"/>
    </row>
    <row r="1357" spans="1:5" ht="17" x14ac:dyDescent="0.2">
      <c r="A1357" s="31" t="s">
        <v>1062</v>
      </c>
      <c r="B1357" s="67">
        <v>491532</v>
      </c>
      <c r="C1357" s="30" t="s">
        <v>84</v>
      </c>
      <c r="D1357" s="25" t="s">
        <v>1092</v>
      </c>
      <c r="E1357" s="28"/>
    </row>
    <row r="1358" spans="1:5" ht="17" x14ac:dyDescent="0.2">
      <c r="A1358" s="31" t="s">
        <v>1062</v>
      </c>
      <c r="B1358" s="67">
        <v>2805116</v>
      </c>
      <c r="C1358" s="30" t="s">
        <v>84</v>
      </c>
      <c r="D1358" s="25" t="s">
        <v>1093</v>
      </c>
      <c r="E1358" s="28"/>
    </row>
    <row r="1359" spans="1:5" ht="17" x14ac:dyDescent="0.2">
      <c r="A1359" s="31" t="s">
        <v>1062</v>
      </c>
      <c r="B1359" s="67">
        <v>5030964</v>
      </c>
      <c r="C1359" s="30" t="s">
        <v>84</v>
      </c>
      <c r="D1359" s="25" t="s">
        <v>1094</v>
      </c>
      <c r="E1359" s="28"/>
    </row>
    <row r="1360" spans="1:5" ht="17" x14ac:dyDescent="0.2">
      <c r="A1360" s="31" t="s">
        <v>1062</v>
      </c>
      <c r="B1360" s="67">
        <v>2853006</v>
      </c>
      <c r="C1360" s="30" t="s">
        <v>76</v>
      </c>
      <c r="D1360" s="25" t="s">
        <v>864</v>
      </c>
      <c r="E1360" s="28"/>
    </row>
    <row r="1361" spans="1:5" ht="17" x14ac:dyDescent="0.2">
      <c r="A1361" s="31" t="s">
        <v>1062</v>
      </c>
      <c r="B1361" s="67">
        <v>2841294</v>
      </c>
      <c r="C1361" s="30" t="s">
        <v>76</v>
      </c>
      <c r="D1361" s="25" t="s">
        <v>1095</v>
      </c>
      <c r="E1361" s="28"/>
    </row>
    <row r="1362" spans="1:5" ht="17" x14ac:dyDescent="0.2">
      <c r="A1362" s="31" t="s">
        <v>1062</v>
      </c>
      <c r="B1362" s="67">
        <v>151544</v>
      </c>
      <c r="C1362" s="27" t="s">
        <v>76</v>
      </c>
      <c r="D1362" s="25" t="s">
        <v>1096</v>
      </c>
      <c r="E1362" s="28"/>
    </row>
    <row r="1363" spans="1:5" ht="17" x14ac:dyDescent="0.2">
      <c r="A1363" s="31" t="s">
        <v>1062</v>
      </c>
      <c r="B1363" s="67">
        <v>435230</v>
      </c>
      <c r="C1363" s="27" t="s">
        <v>76</v>
      </c>
      <c r="D1363" s="48" t="s">
        <v>1097</v>
      </c>
      <c r="E1363" s="28"/>
    </row>
    <row r="1364" spans="1:5" ht="17" x14ac:dyDescent="0.2">
      <c r="A1364" s="31" t="s">
        <v>1062</v>
      </c>
      <c r="B1364" s="67">
        <v>656781</v>
      </c>
      <c r="C1364" s="27" t="s">
        <v>76</v>
      </c>
      <c r="D1364" s="25" t="s">
        <v>182</v>
      </c>
      <c r="E1364" s="28"/>
    </row>
    <row r="1365" spans="1:5" ht="17" x14ac:dyDescent="0.2">
      <c r="A1365" s="31" t="s">
        <v>1062</v>
      </c>
      <c r="B1365" s="67">
        <v>415362</v>
      </c>
      <c r="C1365" s="27" t="s">
        <v>76</v>
      </c>
      <c r="D1365" s="25" t="s">
        <v>1098</v>
      </c>
      <c r="E1365" s="28"/>
    </row>
    <row r="1366" spans="1:5" ht="17" x14ac:dyDescent="0.2">
      <c r="A1366" s="31" t="s">
        <v>1062</v>
      </c>
      <c r="B1366" s="67">
        <v>758613</v>
      </c>
      <c r="C1366" s="27" t="s">
        <v>76</v>
      </c>
      <c r="D1366" s="25" t="s">
        <v>1099</v>
      </c>
      <c r="E1366" s="28"/>
    </row>
    <row r="1367" spans="1:5" ht="17" x14ac:dyDescent="0.2">
      <c r="A1367" s="31" t="s">
        <v>1062</v>
      </c>
      <c r="B1367" s="67">
        <v>494105</v>
      </c>
      <c r="C1367" s="27" t="s">
        <v>76</v>
      </c>
      <c r="D1367" s="25" t="s">
        <v>1100</v>
      </c>
      <c r="E1367" s="28"/>
    </row>
    <row r="1368" spans="1:5" ht="17" x14ac:dyDescent="0.2">
      <c r="A1368" s="31" t="s">
        <v>1062</v>
      </c>
      <c r="B1368" s="67">
        <v>487940</v>
      </c>
      <c r="C1368" s="27" t="s">
        <v>76</v>
      </c>
      <c r="D1368" s="25" t="s">
        <v>1101</v>
      </c>
      <c r="E1368" s="28"/>
    </row>
    <row r="1369" spans="1:5" ht="17" x14ac:dyDescent="0.2">
      <c r="A1369" s="31" t="s">
        <v>1062</v>
      </c>
      <c r="B1369" s="67">
        <v>743144</v>
      </c>
      <c r="C1369" s="27" t="s">
        <v>76</v>
      </c>
      <c r="D1369" s="25" t="s">
        <v>297</v>
      </c>
      <c r="E1369" s="28"/>
    </row>
    <row r="1370" spans="1:5" ht="17" x14ac:dyDescent="0.2">
      <c r="A1370" s="31" t="s">
        <v>1062</v>
      </c>
      <c r="B1370" s="67">
        <v>599599</v>
      </c>
      <c r="C1370" s="27" t="s">
        <v>76</v>
      </c>
      <c r="D1370" s="25" t="s">
        <v>1102</v>
      </c>
      <c r="E1370" s="28"/>
    </row>
    <row r="1371" spans="1:5" ht="17" x14ac:dyDescent="0.2">
      <c r="A1371" s="31" t="s">
        <v>1062</v>
      </c>
      <c r="E1371" s="28"/>
    </row>
    <row r="1372" spans="1:5" ht="17" x14ac:dyDescent="0.2">
      <c r="A1372" s="26" t="s">
        <v>1103</v>
      </c>
      <c r="B1372" s="88" t="s">
        <v>10</v>
      </c>
      <c r="C1372" s="19" t="s">
        <v>11</v>
      </c>
      <c r="D1372" s="21" t="s">
        <v>12</v>
      </c>
      <c r="E1372" s="21" t="s">
        <v>13</v>
      </c>
    </row>
    <row r="1373" spans="1:5" ht="17" x14ac:dyDescent="0.2">
      <c r="A1373" s="26" t="s">
        <v>1103</v>
      </c>
      <c r="B1373" s="89">
        <v>2806962</v>
      </c>
      <c r="C1373" s="30" t="s">
        <v>14</v>
      </c>
      <c r="D1373" s="25" t="s">
        <v>1104</v>
      </c>
      <c r="E1373" s="25" t="s">
        <v>1105</v>
      </c>
    </row>
    <row r="1374" spans="1:5" ht="17" x14ac:dyDescent="0.2">
      <c r="A1374" s="26" t="s">
        <v>1103</v>
      </c>
      <c r="B1374" s="67">
        <v>2822590</v>
      </c>
      <c r="C1374" s="27" t="s">
        <v>14</v>
      </c>
      <c r="D1374" s="25" t="s">
        <v>1106</v>
      </c>
      <c r="E1374" s="25" t="s">
        <v>1107</v>
      </c>
    </row>
    <row r="1375" spans="1:5" ht="17" x14ac:dyDescent="0.2">
      <c r="A1375" s="26" t="s">
        <v>1103</v>
      </c>
      <c r="B1375" s="67">
        <v>2824370</v>
      </c>
      <c r="C1375" s="27" t="s">
        <v>14</v>
      </c>
      <c r="D1375" s="25" t="s">
        <v>1108</v>
      </c>
      <c r="E1375" s="25" t="str">
        <f>HYPERLINK("https://www.linkedin.com/learning/paths/become-a-project-coordinator","Become a Project Coordinator")</f>
        <v>Become a Project Coordinator</v>
      </c>
    </row>
    <row r="1376" spans="1:5" ht="17" x14ac:dyDescent="0.2">
      <c r="A1376" s="26" t="s">
        <v>1103</v>
      </c>
      <c r="B1376" s="67">
        <v>2825403</v>
      </c>
      <c r="C1376" s="27" t="s">
        <v>14</v>
      </c>
      <c r="D1376" s="25" t="s">
        <v>1109</v>
      </c>
      <c r="E1376" s="25" t="str">
        <f>HYPERLINK("https://www.linkedin.com/learning/paths/become-a-project-scheduler","Become a Project Scheduler")</f>
        <v>Become a Project Scheduler</v>
      </c>
    </row>
    <row r="1377" spans="1:5" ht="17" x14ac:dyDescent="0.2">
      <c r="A1377" s="26" t="s">
        <v>1103</v>
      </c>
      <c r="B1377" s="67">
        <v>765311</v>
      </c>
      <c r="C1377" s="27" t="s">
        <v>17</v>
      </c>
      <c r="D1377" s="25" t="s">
        <v>1110</v>
      </c>
      <c r="E1377" s="25" t="str">
        <f>HYPERLINK("https://www.linkedin.com/learning/paths/become-an-agile-project-manager","Become an Agile Project Manager")</f>
        <v>Become an Agile Project Manager</v>
      </c>
    </row>
    <row r="1378" spans="1:5" ht="17" x14ac:dyDescent="0.2">
      <c r="A1378" s="26" t="s">
        <v>1103</v>
      </c>
      <c r="B1378" s="67">
        <v>774893</v>
      </c>
      <c r="C1378" s="23" t="s">
        <v>17</v>
      </c>
      <c r="D1378" s="25" t="s">
        <v>1111</v>
      </c>
      <c r="E1378" s="25" t="str">
        <f>HYPERLINK("https://www.linkedin.com/learning/paths/becoming-a-six-sigma-green-belt","Become a Six Sigma Green Belt")</f>
        <v>Become a Six Sigma Green Belt</v>
      </c>
    </row>
    <row r="1379" spans="1:5" ht="17" x14ac:dyDescent="0.2">
      <c r="A1379" s="26" t="s">
        <v>1103</v>
      </c>
      <c r="B1379" s="67">
        <v>756288</v>
      </c>
      <c r="C1379" s="27" t="s">
        <v>17</v>
      </c>
      <c r="D1379" s="25" t="s">
        <v>1112</v>
      </c>
      <c r="E1379" s="25" t="str">
        <f>HYPERLINK("https://www.linkedin.com/learning/paths/become-a-government-project-manager","Become a Government Project Manager")</f>
        <v>Become a Government Project Manager</v>
      </c>
    </row>
    <row r="1380" spans="1:5" ht="17" x14ac:dyDescent="0.2">
      <c r="A1380" s="26" t="s">
        <v>1103</v>
      </c>
      <c r="B1380" s="67">
        <v>159186</v>
      </c>
      <c r="C1380" s="23" t="s">
        <v>17</v>
      </c>
      <c r="D1380" s="25" t="s">
        <v>1113</v>
      </c>
      <c r="E1380" s="25" t="str">
        <f>HYPERLINK("https://www.linkedin.com/learning/paths/become-a-healthcare-project-manager","Become a Healthcare Project Manager")</f>
        <v>Become a Healthcare Project Manager</v>
      </c>
    </row>
    <row r="1381" spans="1:5" ht="17" x14ac:dyDescent="0.2">
      <c r="A1381" s="26" t="s">
        <v>1103</v>
      </c>
      <c r="B1381" s="67">
        <v>612167</v>
      </c>
      <c r="C1381" s="27" t="s">
        <v>17</v>
      </c>
      <c r="D1381" s="25" t="s">
        <v>1114</v>
      </c>
      <c r="E1381" s="25" t="str">
        <f>HYPERLINK("https://www.linkedin.com/learning/paths/becoming-a-six-sigma-black-belt","Become a Six Sigma Black Belt")</f>
        <v>Become a Six Sigma Black Belt</v>
      </c>
    </row>
    <row r="1382" spans="1:5" ht="17" x14ac:dyDescent="0.2">
      <c r="A1382" s="26" t="s">
        <v>1103</v>
      </c>
      <c r="B1382" s="67">
        <v>2802462</v>
      </c>
      <c r="C1382" s="23" t="s">
        <v>17</v>
      </c>
      <c r="D1382" s="34" t="s">
        <v>1115</v>
      </c>
      <c r="E1382" s="25" t="str">
        <f>HYPERLINK("https://www.linkedin.com/learning/paths/become-a-business-analyst","Become a Business Analyst")</f>
        <v>Become a Business Analyst</v>
      </c>
    </row>
    <row r="1383" spans="1:5" ht="17" x14ac:dyDescent="0.2">
      <c r="A1383" s="26" t="s">
        <v>1103</v>
      </c>
      <c r="B1383" s="67">
        <v>724785</v>
      </c>
      <c r="C1383" s="23" t="s">
        <v>17</v>
      </c>
      <c r="D1383" s="34" t="s">
        <v>1116</v>
      </c>
      <c r="E1383" s="25" t="str">
        <f>HYPERLINK("https://www.linkedin.com/learning/paths/prepare-for-the-pmi-acp-certification","Prepare for the PMI ACP Certification")</f>
        <v>Prepare for the PMI ACP Certification</v>
      </c>
    </row>
    <row r="1384" spans="1:5" ht="17" x14ac:dyDescent="0.2">
      <c r="A1384" s="26" t="s">
        <v>1103</v>
      </c>
      <c r="B1384" s="22">
        <v>5034166</v>
      </c>
      <c r="C1384" s="23" t="s">
        <v>17</v>
      </c>
      <c r="D1384" s="34" t="s">
        <v>1117</v>
      </c>
      <c r="E1384" s="25" t="str">
        <f>HYPERLINK("https://www.linkedin.com/learning/paths/become-a-technical-program-manager","Become a Technical Program Manager")</f>
        <v>Become a Technical Program Manager</v>
      </c>
    </row>
    <row r="1385" spans="1:5" ht="17" x14ac:dyDescent="0.2">
      <c r="A1385" s="26" t="s">
        <v>1103</v>
      </c>
      <c r="B1385" s="22">
        <v>5043072</v>
      </c>
      <c r="C1385" s="27" t="s">
        <v>17</v>
      </c>
      <c r="D1385" s="25" t="s">
        <v>1118</v>
      </c>
      <c r="E1385" s="25" t="str">
        <f>HYPERLINK("https://www.linkedin.com/learning/paths/become-a-program-manager","Become a Program Manager")</f>
        <v>Become a Program Manager</v>
      </c>
    </row>
    <row r="1386" spans="1:5" ht="17" x14ac:dyDescent="0.2">
      <c r="A1386" s="26" t="s">
        <v>1103</v>
      </c>
      <c r="B1386" s="22">
        <v>2253159</v>
      </c>
      <c r="C1386" s="27" t="s">
        <v>17</v>
      </c>
      <c r="D1386" s="25" t="s">
        <v>1119</v>
      </c>
      <c r="E1386" s="25" t="str">
        <f>HYPERLINK("https://www.linkedin.com/learning/paths/become-a-software-project-manager","Become a Software Project Manager")</f>
        <v>Become a Software Project Manager</v>
      </c>
    </row>
    <row r="1387" spans="1:5" ht="17" x14ac:dyDescent="0.2">
      <c r="A1387" s="26" t="s">
        <v>1103</v>
      </c>
      <c r="B1387" s="22">
        <v>2254037</v>
      </c>
      <c r="C1387" s="27" t="s">
        <v>17</v>
      </c>
      <c r="D1387" s="25" t="s">
        <v>1120</v>
      </c>
      <c r="E1387" s="25" t="str">
        <f>HYPERLINK("https://www.linkedin.com/learning/paths/become-a-portfolio-manager","Become a Portfolio Manager")</f>
        <v>Become a Portfolio Manager</v>
      </c>
    </row>
    <row r="1388" spans="1:5" ht="17" x14ac:dyDescent="0.2">
      <c r="A1388" s="26" t="s">
        <v>1103</v>
      </c>
      <c r="B1388" s="22">
        <v>2813141</v>
      </c>
      <c r="C1388" s="27" t="s">
        <v>17</v>
      </c>
      <c r="D1388" s="25" t="s">
        <v>1121</v>
      </c>
      <c r="E1388" s="25" t="s">
        <v>1021</v>
      </c>
    </row>
    <row r="1389" spans="1:5" ht="17" x14ac:dyDescent="0.2">
      <c r="A1389" s="26" t="s">
        <v>1103</v>
      </c>
      <c r="B1389" s="22">
        <v>2814140</v>
      </c>
      <c r="C1389" s="27" t="s">
        <v>17</v>
      </c>
      <c r="D1389" s="25" t="s">
        <v>1122</v>
      </c>
      <c r="E1389" s="28"/>
    </row>
    <row r="1390" spans="1:5" ht="17" x14ac:dyDescent="0.2">
      <c r="A1390" s="26" t="s">
        <v>1103</v>
      </c>
      <c r="B1390" s="22">
        <v>2823295</v>
      </c>
      <c r="C1390" s="27" t="s">
        <v>17</v>
      </c>
      <c r="D1390" s="25" t="s">
        <v>1123</v>
      </c>
      <c r="E1390" s="28"/>
    </row>
    <row r="1391" spans="1:5" ht="17" x14ac:dyDescent="0.2">
      <c r="A1391" s="26" t="s">
        <v>1103</v>
      </c>
      <c r="B1391" s="22">
        <v>2823298</v>
      </c>
      <c r="C1391" s="27" t="s">
        <v>17</v>
      </c>
      <c r="D1391" s="25" t="s">
        <v>1032</v>
      </c>
      <c r="E1391" s="28"/>
    </row>
    <row r="1392" spans="1:5" ht="17" x14ac:dyDescent="0.2">
      <c r="A1392" s="26" t="s">
        <v>1103</v>
      </c>
      <c r="B1392" s="22">
        <v>2824205</v>
      </c>
      <c r="C1392" s="27" t="s">
        <v>17</v>
      </c>
      <c r="D1392" s="25" t="s">
        <v>1033</v>
      </c>
      <c r="E1392" s="28"/>
    </row>
    <row r="1393" spans="1:5" ht="17" x14ac:dyDescent="0.2">
      <c r="A1393" s="26" t="s">
        <v>1103</v>
      </c>
      <c r="B1393" s="22">
        <v>2825034</v>
      </c>
      <c r="C1393" s="27" t="s">
        <v>17</v>
      </c>
      <c r="D1393" s="25" t="s">
        <v>1124</v>
      </c>
      <c r="E1393" s="28"/>
    </row>
    <row r="1394" spans="1:5" ht="17" x14ac:dyDescent="0.2">
      <c r="A1394" s="26" t="s">
        <v>1103</v>
      </c>
      <c r="B1394" s="22">
        <v>2825379</v>
      </c>
      <c r="C1394" s="27" t="s">
        <v>17</v>
      </c>
      <c r="D1394" s="25" t="s">
        <v>1034</v>
      </c>
      <c r="E1394" s="28"/>
    </row>
    <row r="1395" spans="1:5" ht="17" x14ac:dyDescent="0.2">
      <c r="A1395" s="26" t="s">
        <v>1103</v>
      </c>
      <c r="B1395" s="22">
        <v>2813184</v>
      </c>
      <c r="C1395" s="27" t="s">
        <v>17</v>
      </c>
      <c r="D1395" s="25" t="s">
        <v>43</v>
      </c>
      <c r="E1395" s="28"/>
    </row>
    <row r="1396" spans="1:5" ht="17" x14ac:dyDescent="0.2">
      <c r="A1396" s="26" t="s">
        <v>1103</v>
      </c>
      <c r="B1396" s="22">
        <v>2813277</v>
      </c>
      <c r="C1396" s="27" t="s">
        <v>17</v>
      </c>
      <c r="D1396" s="25" t="s">
        <v>44</v>
      </c>
      <c r="E1396" s="28"/>
    </row>
    <row r="1397" spans="1:5" ht="17" x14ac:dyDescent="0.2">
      <c r="A1397" s="26" t="s">
        <v>1103</v>
      </c>
      <c r="B1397" s="22">
        <v>2831005</v>
      </c>
      <c r="C1397" s="27" t="s">
        <v>17</v>
      </c>
      <c r="D1397" s="48" t="s">
        <v>1125</v>
      </c>
      <c r="E1397" s="28"/>
    </row>
    <row r="1398" spans="1:5" ht="17" x14ac:dyDescent="0.2">
      <c r="A1398" s="26" t="s">
        <v>1103</v>
      </c>
      <c r="B1398" s="22">
        <v>2823512</v>
      </c>
      <c r="C1398" s="27" t="s">
        <v>17</v>
      </c>
      <c r="D1398" s="25" t="s">
        <v>57</v>
      </c>
      <c r="E1398" s="28"/>
    </row>
    <row r="1399" spans="1:5" ht="17" x14ac:dyDescent="0.2">
      <c r="A1399" s="26" t="s">
        <v>1103</v>
      </c>
      <c r="B1399" s="22">
        <v>2846053</v>
      </c>
      <c r="C1399" s="27" t="s">
        <v>17</v>
      </c>
      <c r="D1399" s="25" t="s">
        <v>162</v>
      </c>
      <c r="E1399" s="28"/>
    </row>
    <row r="1400" spans="1:5" ht="17" x14ac:dyDescent="0.2">
      <c r="A1400" s="26" t="s">
        <v>1103</v>
      </c>
      <c r="B1400" s="22">
        <v>2834000</v>
      </c>
      <c r="C1400" s="27" t="s">
        <v>17</v>
      </c>
      <c r="D1400" s="25" t="s">
        <v>946</v>
      </c>
      <c r="E1400" s="28"/>
    </row>
    <row r="1401" spans="1:5" ht="17" x14ac:dyDescent="0.2">
      <c r="A1401" s="26" t="s">
        <v>1103</v>
      </c>
      <c r="B1401" s="22">
        <v>2313157</v>
      </c>
      <c r="C1401" s="27" t="s">
        <v>17</v>
      </c>
      <c r="D1401" s="25" t="s">
        <v>1126</v>
      </c>
      <c r="E1401" s="28"/>
    </row>
    <row r="1402" spans="1:5" ht="17" x14ac:dyDescent="0.2">
      <c r="A1402" s="26" t="s">
        <v>1103</v>
      </c>
      <c r="B1402" s="22">
        <v>648914</v>
      </c>
      <c r="C1402" s="23" t="s">
        <v>70</v>
      </c>
      <c r="D1402" s="34" t="s">
        <v>1127</v>
      </c>
      <c r="E1402" s="28"/>
    </row>
    <row r="1403" spans="1:5" ht="17" x14ac:dyDescent="0.2">
      <c r="A1403" s="26" t="s">
        <v>1103</v>
      </c>
      <c r="B1403" s="22">
        <v>704118</v>
      </c>
      <c r="C1403" s="27" t="s">
        <v>70</v>
      </c>
      <c r="D1403" s="25" t="s">
        <v>1128</v>
      </c>
      <c r="E1403" s="28"/>
    </row>
    <row r="1404" spans="1:5" ht="17" x14ac:dyDescent="0.2">
      <c r="A1404" s="26" t="s">
        <v>1103</v>
      </c>
      <c r="B1404" s="22">
        <v>175639</v>
      </c>
      <c r="C1404" s="30" t="s">
        <v>70</v>
      </c>
      <c r="D1404" s="34" t="s">
        <v>503</v>
      </c>
      <c r="E1404" s="28"/>
    </row>
    <row r="1405" spans="1:5" ht="17" x14ac:dyDescent="0.2">
      <c r="A1405" s="26" t="s">
        <v>1103</v>
      </c>
      <c r="B1405" s="22">
        <v>2806198</v>
      </c>
      <c r="C1405" s="27" t="s">
        <v>70</v>
      </c>
      <c r="D1405" s="25" t="s">
        <v>1129</v>
      </c>
      <c r="E1405" s="28"/>
    </row>
    <row r="1406" spans="1:5" ht="17" x14ac:dyDescent="0.2">
      <c r="A1406" s="26" t="s">
        <v>1103</v>
      </c>
      <c r="B1406" s="22">
        <v>2813142</v>
      </c>
      <c r="C1406" s="27" t="s">
        <v>70</v>
      </c>
      <c r="D1406" s="25" t="s">
        <v>1130</v>
      </c>
      <c r="E1406" s="28"/>
    </row>
    <row r="1407" spans="1:5" ht="17" x14ac:dyDescent="0.2">
      <c r="A1407" s="26" t="s">
        <v>1103</v>
      </c>
      <c r="B1407" s="22">
        <v>2823553</v>
      </c>
      <c r="C1407" s="27" t="s">
        <v>70</v>
      </c>
      <c r="D1407" s="25" t="s">
        <v>1131</v>
      </c>
      <c r="E1407" s="28"/>
    </row>
    <row r="1408" spans="1:5" ht="17" x14ac:dyDescent="0.2">
      <c r="A1408" s="26" t="s">
        <v>1103</v>
      </c>
      <c r="B1408" s="22">
        <v>2824220</v>
      </c>
      <c r="C1408" s="30" t="s">
        <v>84</v>
      </c>
      <c r="D1408" s="25" t="s">
        <v>1132</v>
      </c>
      <c r="E1408" s="28"/>
    </row>
    <row r="1409" spans="1:5" ht="17" x14ac:dyDescent="0.2">
      <c r="A1409" s="26" t="s">
        <v>1103</v>
      </c>
      <c r="B1409" s="22">
        <v>2824219</v>
      </c>
      <c r="C1409" s="30" t="s">
        <v>84</v>
      </c>
      <c r="D1409" s="25" t="s">
        <v>125</v>
      </c>
      <c r="E1409" s="28"/>
    </row>
    <row r="1410" spans="1:5" ht="17" x14ac:dyDescent="0.2">
      <c r="A1410" s="26" t="s">
        <v>1103</v>
      </c>
      <c r="B1410" s="22">
        <v>2836016</v>
      </c>
      <c r="C1410" s="30" t="s">
        <v>84</v>
      </c>
      <c r="D1410" s="25" t="s">
        <v>281</v>
      </c>
      <c r="E1410" s="28"/>
    </row>
    <row r="1411" spans="1:5" ht="17" x14ac:dyDescent="0.2">
      <c r="A1411" s="26" t="s">
        <v>1103</v>
      </c>
      <c r="B1411" s="22">
        <v>2820009</v>
      </c>
      <c r="C1411" s="30" t="s">
        <v>84</v>
      </c>
      <c r="D1411" s="25" t="s">
        <v>1133</v>
      </c>
      <c r="E1411" s="28"/>
    </row>
    <row r="1412" spans="1:5" ht="17" x14ac:dyDescent="0.2">
      <c r="A1412" s="26" t="s">
        <v>1103</v>
      </c>
      <c r="B1412" s="22">
        <v>2822042</v>
      </c>
      <c r="C1412" s="30" t="s">
        <v>84</v>
      </c>
      <c r="D1412" s="25" t="s">
        <v>1134</v>
      </c>
      <c r="E1412" s="28"/>
    </row>
    <row r="1413" spans="1:5" ht="17" x14ac:dyDescent="0.2">
      <c r="A1413" s="26" t="s">
        <v>1103</v>
      </c>
      <c r="B1413" s="22">
        <v>2837263</v>
      </c>
      <c r="C1413" s="30" t="s">
        <v>84</v>
      </c>
      <c r="D1413" s="25" t="s">
        <v>1135</v>
      </c>
      <c r="E1413" s="28"/>
    </row>
    <row r="1414" spans="1:5" ht="17" x14ac:dyDescent="0.2">
      <c r="A1414" s="26" t="s">
        <v>1103</v>
      </c>
      <c r="B1414" s="22">
        <v>2839078</v>
      </c>
      <c r="C1414" s="30" t="s">
        <v>84</v>
      </c>
      <c r="D1414" s="25" t="s">
        <v>1136</v>
      </c>
      <c r="E1414" s="28"/>
    </row>
    <row r="1415" spans="1:5" ht="17" x14ac:dyDescent="0.2">
      <c r="A1415" s="26" t="s">
        <v>1103</v>
      </c>
      <c r="B1415" s="22">
        <v>2818082</v>
      </c>
      <c r="C1415" s="23" t="s">
        <v>76</v>
      </c>
      <c r="D1415" s="34" t="s">
        <v>1137</v>
      </c>
      <c r="E1415" s="28"/>
    </row>
    <row r="1416" spans="1:5" ht="17" x14ac:dyDescent="0.2">
      <c r="A1416" s="26" t="s">
        <v>1103</v>
      </c>
      <c r="B1416" s="22">
        <v>2822422</v>
      </c>
      <c r="C1416" s="23" t="s">
        <v>76</v>
      </c>
      <c r="D1416" s="34" t="s">
        <v>963</v>
      </c>
      <c r="E1416" s="28"/>
    </row>
    <row r="1417" spans="1:5" ht="17" x14ac:dyDescent="0.2">
      <c r="A1417" s="26" t="s">
        <v>1103</v>
      </c>
      <c r="B1417" s="29">
        <v>2800329</v>
      </c>
      <c r="C1417" s="27" t="s">
        <v>76</v>
      </c>
      <c r="D1417" s="34" t="s">
        <v>1138</v>
      </c>
      <c r="E1417" s="28"/>
    </row>
    <row r="1418" spans="1:5" ht="17" x14ac:dyDescent="0.2">
      <c r="A1418" s="26" t="s">
        <v>1103</v>
      </c>
      <c r="B1418" s="22">
        <v>699331</v>
      </c>
      <c r="C1418" s="27" t="s">
        <v>76</v>
      </c>
      <c r="D1418" s="25" t="s">
        <v>133</v>
      </c>
      <c r="E1418" s="28"/>
    </row>
    <row r="1419" spans="1:5" ht="17" x14ac:dyDescent="0.2">
      <c r="A1419" s="26" t="s">
        <v>1103</v>
      </c>
      <c r="B1419" s="22">
        <v>5019797</v>
      </c>
      <c r="C1419" s="27" t="s">
        <v>76</v>
      </c>
      <c r="D1419" s="25" t="s">
        <v>1139</v>
      </c>
      <c r="E1419" s="28"/>
    </row>
    <row r="1420" spans="1:5" ht="17" x14ac:dyDescent="0.2">
      <c r="A1420" s="26" t="s">
        <v>1103</v>
      </c>
      <c r="B1420" s="22">
        <v>604222</v>
      </c>
      <c r="C1420" s="27" t="s">
        <v>76</v>
      </c>
      <c r="D1420" s="34" t="s">
        <v>1140</v>
      </c>
      <c r="E1420" s="28"/>
    </row>
    <row r="1421" spans="1:5" ht="17" x14ac:dyDescent="0.2">
      <c r="A1421" s="26" t="s">
        <v>1103</v>
      </c>
      <c r="B1421" s="22">
        <v>483102</v>
      </c>
      <c r="C1421" s="27" t="s">
        <v>76</v>
      </c>
      <c r="D1421" s="25" t="s">
        <v>972</v>
      </c>
      <c r="E1421" s="28"/>
    </row>
    <row r="1422" spans="1:5" ht="17" x14ac:dyDescent="0.2">
      <c r="A1422" s="26" t="s">
        <v>1103</v>
      </c>
      <c r="B1422" s="22">
        <v>630598</v>
      </c>
      <c r="C1422" s="23" t="s">
        <v>76</v>
      </c>
      <c r="D1422" s="25" t="s">
        <v>1141</v>
      </c>
      <c r="E1422" s="28"/>
    </row>
    <row r="1423" spans="1:5" ht="17" x14ac:dyDescent="0.2">
      <c r="A1423" s="26" t="s">
        <v>1103</v>
      </c>
      <c r="B1423" s="22">
        <v>580636</v>
      </c>
      <c r="C1423" s="23" t="s">
        <v>76</v>
      </c>
      <c r="D1423" s="52" t="str">
        <f>HYPERLINK("https://www.linkedin.com/learning/program-management","Learning Program Management")</f>
        <v>Learning Program Management</v>
      </c>
      <c r="E1423" s="28"/>
    </row>
    <row r="1424" spans="1:5" ht="17" x14ac:dyDescent="0.2">
      <c r="A1424" s="26" t="s">
        <v>1103</v>
      </c>
      <c r="B1424" s="22">
        <v>761930</v>
      </c>
      <c r="C1424" s="23" t="s">
        <v>76</v>
      </c>
      <c r="D1424" s="25" t="s">
        <v>1142</v>
      </c>
      <c r="E1424" s="28"/>
    </row>
    <row r="1425" spans="1:5" ht="17" x14ac:dyDescent="0.2">
      <c r="A1425" s="26" t="s">
        <v>1103</v>
      </c>
      <c r="B1425" s="22">
        <v>761927</v>
      </c>
      <c r="C1425" s="23" t="s">
        <v>76</v>
      </c>
      <c r="D1425" s="25" t="s">
        <v>1143</v>
      </c>
      <c r="E1425" s="28"/>
    </row>
    <row r="1426" spans="1:5" ht="17" x14ac:dyDescent="0.2">
      <c r="A1426" s="26" t="s">
        <v>1103</v>
      </c>
      <c r="B1426" s="22">
        <v>761928</v>
      </c>
      <c r="C1426" s="27" t="s">
        <v>76</v>
      </c>
      <c r="D1426" s="25" t="s">
        <v>1144</v>
      </c>
      <c r="E1426" s="28"/>
    </row>
    <row r="1427" spans="1:5" ht="17" x14ac:dyDescent="0.2">
      <c r="A1427" s="26" t="s">
        <v>1103</v>
      </c>
      <c r="B1427" s="22">
        <v>450184</v>
      </c>
      <c r="C1427" s="27" t="s">
        <v>76</v>
      </c>
      <c r="D1427" s="25" t="s">
        <v>1145</v>
      </c>
      <c r="E1427" s="28"/>
    </row>
    <row r="1428" spans="1:5" ht="17" x14ac:dyDescent="0.2">
      <c r="A1428" s="26" t="s">
        <v>1103</v>
      </c>
      <c r="B1428" s="22">
        <v>2823322</v>
      </c>
      <c r="C1428" s="27" t="s">
        <v>76</v>
      </c>
      <c r="D1428" s="25" t="s">
        <v>1146</v>
      </c>
      <c r="E1428" s="28"/>
    </row>
    <row r="1429" spans="1:5" ht="17" x14ac:dyDescent="0.2">
      <c r="A1429" s="26" t="s">
        <v>1103</v>
      </c>
      <c r="B1429" s="22">
        <v>2824377</v>
      </c>
      <c r="C1429" s="27" t="s">
        <v>76</v>
      </c>
      <c r="D1429" s="25" t="s">
        <v>1147</v>
      </c>
      <c r="E1429" s="28"/>
    </row>
    <row r="1430" spans="1:5" ht="17" x14ac:dyDescent="0.2">
      <c r="A1430" s="26" t="s">
        <v>1103</v>
      </c>
      <c r="B1430" s="22">
        <v>2825693</v>
      </c>
      <c r="C1430" s="27" t="s">
        <v>76</v>
      </c>
      <c r="D1430" s="25" t="s">
        <v>1148</v>
      </c>
      <c r="E1430" s="28"/>
    </row>
    <row r="1431" spans="1:5" ht="17" x14ac:dyDescent="0.2">
      <c r="A1431" s="26" t="s">
        <v>1103</v>
      </c>
      <c r="B1431" s="22">
        <v>2822664</v>
      </c>
      <c r="C1431" s="27" t="s">
        <v>76</v>
      </c>
      <c r="D1431" s="25" t="s">
        <v>1149</v>
      </c>
      <c r="E1431" s="28"/>
    </row>
    <row r="1432" spans="1:5" ht="17" x14ac:dyDescent="0.2">
      <c r="A1432" s="26" t="s">
        <v>1103</v>
      </c>
      <c r="E1432" s="28"/>
    </row>
    <row r="1433" spans="1:5" ht="17" x14ac:dyDescent="0.2">
      <c r="A1433" s="26" t="s">
        <v>1150</v>
      </c>
      <c r="B1433" s="19" t="s">
        <v>10</v>
      </c>
      <c r="C1433" s="19" t="s">
        <v>11</v>
      </c>
      <c r="D1433" s="21" t="s">
        <v>12</v>
      </c>
      <c r="E1433" s="21" t="s">
        <v>13</v>
      </c>
    </row>
    <row r="1434" spans="1:5" ht="17" x14ac:dyDescent="0.2">
      <c r="A1434" s="26" t="s">
        <v>1150</v>
      </c>
      <c r="B1434" s="22">
        <v>520215</v>
      </c>
      <c r="C1434" s="27" t="s">
        <v>14</v>
      </c>
      <c r="D1434" s="25" t="str">
        <f>HYPERLINK("https://www.linkedin.com/learning/sales-coaching","Sales Coaching")</f>
        <v>Sales Coaching</v>
      </c>
      <c r="E1434" s="25" t="s">
        <v>1151</v>
      </c>
    </row>
    <row r="1435" spans="1:5" ht="17" x14ac:dyDescent="0.2">
      <c r="A1435" s="26" t="s">
        <v>1150</v>
      </c>
      <c r="B1435" s="22">
        <v>555794</v>
      </c>
      <c r="C1435" s="27" t="s">
        <v>14</v>
      </c>
      <c r="D1435" s="25" t="str">
        <f>HYPERLINK("https://www.linkedin.com/learning/salesforce-for-sales-managers","Salesforce for Sales Managers")</f>
        <v>Salesforce for Sales Managers</v>
      </c>
      <c r="E1435" s="25" t="str">
        <f>HYPERLINK("https://www.linkedin.com/learning/paths/become-a-sales-manager","Become a Sales Manager")</f>
        <v>Become a Sales Manager</v>
      </c>
    </row>
    <row r="1436" spans="1:5" ht="17" x14ac:dyDescent="0.2">
      <c r="A1436" s="26" t="s">
        <v>1150</v>
      </c>
      <c r="B1436" s="22">
        <v>777346</v>
      </c>
      <c r="C1436" s="27" t="s">
        <v>14</v>
      </c>
      <c r="D1436" s="25" t="s">
        <v>1152</v>
      </c>
      <c r="E1436" s="25" t="str">
        <f>HYPERLINK("https://www.linkedin.com/learning/paths/become-a-sales-representative","Become a Sales Representative")</f>
        <v>Become a Sales Representative</v>
      </c>
    </row>
    <row r="1437" spans="1:5" ht="17" x14ac:dyDescent="0.2">
      <c r="A1437" s="26" t="s">
        <v>1150</v>
      </c>
      <c r="B1437" s="22">
        <v>797727</v>
      </c>
      <c r="C1437" s="27" t="s">
        <v>14</v>
      </c>
      <c r="D1437" s="25" t="str">
        <f>HYPERLINK("https://www.linkedin.com/learning/sales-closing-strategies","Sales: Closing Strategies")</f>
        <v>Sales: Closing Strategies</v>
      </c>
      <c r="E1437" s="25" t="str">
        <f>HYPERLINK("https://www.linkedin.com/learning/paths/succeeding-in-sales-during-times-of-volatility","Succeeding in Sales During Times of Volatility")</f>
        <v>Succeeding in Sales During Times of Volatility</v>
      </c>
    </row>
    <row r="1438" spans="1:5" ht="17" x14ac:dyDescent="0.2">
      <c r="A1438" s="26" t="s">
        <v>1150</v>
      </c>
      <c r="B1438" s="22">
        <v>2811346</v>
      </c>
      <c r="C1438" s="27" t="s">
        <v>14</v>
      </c>
      <c r="D1438" s="25" t="s">
        <v>1153</v>
      </c>
      <c r="E1438" s="25"/>
    </row>
    <row r="1439" spans="1:5" ht="17" x14ac:dyDescent="0.2">
      <c r="A1439" s="26" t="s">
        <v>1150</v>
      </c>
      <c r="B1439" s="22">
        <v>5016699</v>
      </c>
      <c r="C1439" s="27" t="s">
        <v>14</v>
      </c>
      <c r="D1439" s="25" t="s">
        <v>1154</v>
      </c>
      <c r="E1439" s="26"/>
    </row>
    <row r="1440" spans="1:5" ht="17" x14ac:dyDescent="0.2">
      <c r="A1440" s="26" t="s">
        <v>1150</v>
      </c>
      <c r="B1440" s="22">
        <v>193708</v>
      </c>
      <c r="C1440" s="27" t="s">
        <v>17</v>
      </c>
      <c r="D1440" s="25" t="str">
        <f>HYPERLINK("https://www.linkedin.com/learning/sales-foundations","Sales Foundations")</f>
        <v>Sales Foundations</v>
      </c>
      <c r="E1440" s="28"/>
    </row>
    <row r="1441" spans="1:5" ht="17" x14ac:dyDescent="0.2">
      <c r="A1441" s="26" t="s">
        <v>1150</v>
      </c>
      <c r="B1441" s="22">
        <v>371322</v>
      </c>
      <c r="C1441" s="27" t="s">
        <v>17</v>
      </c>
      <c r="D1441" s="25" t="str">
        <f>HYPERLINK("https://www.linkedin.com/learning/sales-management-foundations","Sales Management Foundations")</f>
        <v>Sales Management Foundations</v>
      </c>
      <c r="E1441" s="26"/>
    </row>
    <row r="1442" spans="1:5" ht="17" x14ac:dyDescent="0.2">
      <c r="A1442" s="26" t="s">
        <v>1150</v>
      </c>
      <c r="B1442" s="22">
        <v>651189</v>
      </c>
      <c r="C1442" s="27" t="s">
        <v>17</v>
      </c>
      <c r="D1442" s="25" t="str">
        <f>HYPERLINK("https://www.linkedin.com/learning/networking-for-sales-professionals","Networking for Sales Professionals")</f>
        <v>Networking for Sales Professionals</v>
      </c>
      <c r="E1442" s="26"/>
    </row>
    <row r="1443" spans="1:5" ht="17" x14ac:dyDescent="0.2">
      <c r="A1443" s="26" t="s">
        <v>1150</v>
      </c>
      <c r="B1443" s="22">
        <v>802826</v>
      </c>
      <c r="C1443" s="27" t="s">
        <v>17</v>
      </c>
      <c r="D1443" s="25" t="str">
        <f>HYPERLINK("https://www.linkedin.com/learning/following-up-after-a-sales-meeting","Following Up after a Sales Meeting")</f>
        <v>Following Up after a Sales Meeting</v>
      </c>
      <c r="E1443" s="26"/>
    </row>
    <row r="1444" spans="1:5" ht="17" x14ac:dyDescent="0.2">
      <c r="A1444" s="26" t="s">
        <v>1150</v>
      </c>
      <c r="B1444" s="22">
        <v>2807101</v>
      </c>
      <c r="C1444" s="27" t="s">
        <v>17</v>
      </c>
      <c r="D1444" s="25" t="s">
        <v>1155</v>
      </c>
      <c r="E1444" s="26"/>
    </row>
    <row r="1445" spans="1:5" ht="17" x14ac:dyDescent="0.2">
      <c r="A1445" s="26" t="s">
        <v>1150</v>
      </c>
      <c r="B1445" s="22">
        <v>2815116</v>
      </c>
      <c r="C1445" s="27" t="s">
        <v>17</v>
      </c>
      <c r="D1445" s="25" t="s">
        <v>1156</v>
      </c>
      <c r="E1445" s="26"/>
    </row>
    <row r="1446" spans="1:5" ht="17" x14ac:dyDescent="0.2">
      <c r="A1446" s="26" t="s">
        <v>1150</v>
      </c>
      <c r="B1446" s="22">
        <v>2815120</v>
      </c>
      <c r="C1446" s="27" t="s">
        <v>17</v>
      </c>
      <c r="D1446" s="25" t="s">
        <v>1157</v>
      </c>
      <c r="E1446" s="28"/>
    </row>
    <row r="1447" spans="1:5" ht="17" x14ac:dyDescent="0.2">
      <c r="A1447" s="26" t="s">
        <v>1150</v>
      </c>
      <c r="B1447" s="22">
        <v>2822580</v>
      </c>
      <c r="C1447" s="27" t="s">
        <v>17</v>
      </c>
      <c r="D1447" s="25" t="s">
        <v>526</v>
      </c>
      <c r="E1447" s="28"/>
    </row>
    <row r="1448" spans="1:5" ht="17" x14ac:dyDescent="0.2">
      <c r="A1448" s="26" t="s">
        <v>1150</v>
      </c>
      <c r="B1448" s="22">
        <v>2822581</v>
      </c>
      <c r="C1448" s="27" t="s">
        <v>17</v>
      </c>
      <c r="D1448" s="25" t="s">
        <v>527</v>
      </c>
      <c r="E1448" s="28"/>
    </row>
    <row r="1449" spans="1:5" ht="17" x14ac:dyDescent="0.2">
      <c r="A1449" s="26" t="s">
        <v>1150</v>
      </c>
      <c r="B1449" s="22">
        <v>2822582</v>
      </c>
      <c r="C1449" s="27" t="s">
        <v>17</v>
      </c>
      <c r="D1449" s="25" t="s">
        <v>528</v>
      </c>
      <c r="E1449" s="26"/>
    </row>
    <row r="1450" spans="1:5" ht="17" x14ac:dyDescent="0.2">
      <c r="A1450" s="26" t="s">
        <v>1150</v>
      </c>
      <c r="B1450" s="22">
        <v>2823488</v>
      </c>
      <c r="C1450" s="27" t="s">
        <v>17</v>
      </c>
      <c r="D1450" s="25" t="s">
        <v>529</v>
      </c>
      <c r="E1450" s="26"/>
    </row>
    <row r="1451" spans="1:5" ht="17" x14ac:dyDescent="0.2">
      <c r="A1451" s="26" t="s">
        <v>1150</v>
      </c>
      <c r="B1451" s="22">
        <v>2823513</v>
      </c>
      <c r="C1451" s="27" t="s">
        <v>17</v>
      </c>
      <c r="D1451" s="25" t="s">
        <v>607</v>
      </c>
      <c r="E1451" s="26"/>
    </row>
    <row r="1452" spans="1:5" ht="17" x14ac:dyDescent="0.2">
      <c r="A1452" s="26" t="s">
        <v>1150</v>
      </c>
      <c r="B1452" s="22">
        <v>2824080</v>
      </c>
      <c r="C1452" s="27" t="s">
        <v>17</v>
      </c>
      <c r="D1452" s="25" t="s">
        <v>1158</v>
      </c>
      <c r="E1452" s="26"/>
    </row>
    <row r="1453" spans="1:5" ht="17" x14ac:dyDescent="0.2">
      <c r="A1453" s="26" t="s">
        <v>1150</v>
      </c>
      <c r="B1453" s="22">
        <v>2824204</v>
      </c>
      <c r="C1453" s="27" t="s">
        <v>17</v>
      </c>
      <c r="D1453" s="25" t="s">
        <v>1159</v>
      </c>
      <c r="E1453" s="26"/>
    </row>
    <row r="1454" spans="1:5" ht="17" x14ac:dyDescent="0.2">
      <c r="A1454" s="26" t="s">
        <v>1150</v>
      </c>
      <c r="B1454" s="22">
        <v>2824265</v>
      </c>
      <c r="C1454" s="27" t="s">
        <v>17</v>
      </c>
      <c r="D1454" s="25" t="s">
        <v>1160</v>
      </c>
      <c r="E1454" s="26"/>
    </row>
    <row r="1455" spans="1:5" ht="17" x14ac:dyDescent="0.2">
      <c r="A1455" s="26" t="s">
        <v>1150</v>
      </c>
      <c r="B1455" s="22">
        <v>2824356</v>
      </c>
      <c r="C1455" s="27" t="s">
        <v>17</v>
      </c>
      <c r="D1455" s="25" t="s">
        <v>530</v>
      </c>
      <c r="E1455" s="26"/>
    </row>
    <row r="1456" spans="1:5" ht="17" x14ac:dyDescent="0.2">
      <c r="A1456" s="26" t="s">
        <v>1150</v>
      </c>
      <c r="B1456" s="22">
        <v>2824357</v>
      </c>
      <c r="C1456" s="27" t="s">
        <v>17</v>
      </c>
      <c r="D1456" s="25" t="s">
        <v>531</v>
      </c>
      <c r="E1456" s="26"/>
    </row>
    <row r="1457" spans="1:5" ht="17" x14ac:dyDescent="0.2">
      <c r="A1457" s="26" t="s">
        <v>1150</v>
      </c>
      <c r="B1457" s="22">
        <v>2825375</v>
      </c>
      <c r="C1457" s="27" t="s">
        <v>17</v>
      </c>
      <c r="D1457" s="25" t="s">
        <v>1161</v>
      </c>
      <c r="E1457" s="26"/>
    </row>
    <row r="1458" spans="1:5" ht="17" x14ac:dyDescent="0.2">
      <c r="A1458" s="26" t="s">
        <v>1150</v>
      </c>
      <c r="B1458" s="22">
        <v>2825603</v>
      </c>
      <c r="C1458" s="27" t="s">
        <v>17</v>
      </c>
      <c r="D1458" s="25" t="s">
        <v>532</v>
      </c>
      <c r="E1458" s="26"/>
    </row>
    <row r="1459" spans="1:5" ht="17" x14ac:dyDescent="0.2">
      <c r="A1459" s="26" t="s">
        <v>1150</v>
      </c>
      <c r="B1459" s="22">
        <v>2972232</v>
      </c>
      <c r="C1459" s="27" t="s">
        <v>17</v>
      </c>
      <c r="D1459" s="25" t="s">
        <v>1162</v>
      </c>
      <c r="E1459" s="26"/>
    </row>
    <row r="1460" spans="1:5" ht="17" x14ac:dyDescent="0.2">
      <c r="A1460" s="26" t="s">
        <v>1150</v>
      </c>
      <c r="B1460" s="22">
        <v>2974328</v>
      </c>
      <c r="C1460" s="27" t="s">
        <v>17</v>
      </c>
      <c r="D1460" s="25" t="s">
        <v>1163</v>
      </c>
      <c r="E1460" s="26"/>
    </row>
    <row r="1461" spans="1:5" ht="17" x14ac:dyDescent="0.2">
      <c r="A1461" s="26" t="s">
        <v>1150</v>
      </c>
      <c r="B1461" s="22">
        <v>5016707</v>
      </c>
      <c r="C1461" s="27" t="s">
        <v>17</v>
      </c>
      <c r="D1461" s="25" t="str">
        <f>HYPERLINK("https://www.linkedin.com/learning/selling-with-authenticity","Selling with Authenticity")</f>
        <v>Selling with Authenticity</v>
      </c>
      <c r="E1461" s="26"/>
    </row>
    <row r="1462" spans="1:5" ht="17" x14ac:dyDescent="0.2">
      <c r="A1462" s="26" t="s">
        <v>1150</v>
      </c>
      <c r="B1462" s="22">
        <v>2837268</v>
      </c>
      <c r="C1462" s="27" t="s">
        <v>17</v>
      </c>
      <c r="D1462" s="25" t="s">
        <v>266</v>
      </c>
      <c r="E1462" s="26"/>
    </row>
    <row r="1463" spans="1:5" ht="17" x14ac:dyDescent="0.2">
      <c r="A1463" s="26" t="s">
        <v>1150</v>
      </c>
      <c r="B1463" s="22">
        <v>2848077</v>
      </c>
      <c r="C1463" s="27" t="s">
        <v>17</v>
      </c>
      <c r="D1463" s="25" t="s">
        <v>1164</v>
      </c>
      <c r="E1463" s="26"/>
    </row>
    <row r="1464" spans="1:5" ht="17" x14ac:dyDescent="0.2">
      <c r="A1464" s="26" t="s">
        <v>1150</v>
      </c>
      <c r="B1464" s="22">
        <v>2849195</v>
      </c>
      <c r="C1464" s="27" t="s">
        <v>17</v>
      </c>
      <c r="D1464" s="25" t="s">
        <v>413</v>
      </c>
      <c r="E1464" s="26"/>
    </row>
    <row r="1465" spans="1:5" ht="17" x14ac:dyDescent="0.2">
      <c r="A1465" s="26" t="s">
        <v>1150</v>
      </c>
      <c r="B1465" s="22">
        <v>2863038</v>
      </c>
      <c r="C1465" s="27" t="s">
        <v>70</v>
      </c>
      <c r="D1465" s="25" t="s">
        <v>1165</v>
      </c>
      <c r="E1465" s="26"/>
    </row>
    <row r="1466" spans="1:5" ht="17" x14ac:dyDescent="0.2">
      <c r="A1466" s="26" t="s">
        <v>1150</v>
      </c>
      <c r="B1466" s="22">
        <v>520214</v>
      </c>
      <c r="C1466" s="30" t="s">
        <v>70</v>
      </c>
      <c r="D1466" s="25" t="str">
        <f>HYPERLINK("https://www.linkedin.com/learning/transitioning-to-management-for-salespeople","Transitioning to Management for Salespeople")</f>
        <v>Transitioning to Management for Salespeople</v>
      </c>
      <c r="E1466" s="26"/>
    </row>
    <row r="1467" spans="1:5" ht="17" x14ac:dyDescent="0.2">
      <c r="A1467" s="26" t="s">
        <v>1150</v>
      </c>
      <c r="B1467" s="22">
        <v>574679</v>
      </c>
      <c r="C1467" s="30" t="s">
        <v>70</v>
      </c>
      <c r="D1467" s="25" t="str">
        <f>HYPERLINK("https://www.linkedin.com/learning/customer-retention/welcome","Customer Retention")</f>
        <v>Customer Retention</v>
      </c>
      <c r="E1467" s="26"/>
    </row>
    <row r="1468" spans="1:5" ht="17" x14ac:dyDescent="0.2">
      <c r="A1468" s="26" t="s">
        <v>1150</v>
      </c>
      <c r="B1468" s="22">
        <v>602885</v>
      </c>
      <c r="C1468" s="30" t="s">
        <v>70</v>
      </c>
      <c r="D1468" s="25" t="str">
        <f>HYPERLINK("https://www.linkedin.com/learning/business-to-business-sales","Business-to-Business Sales")</f>
        <v>Business-to-Business Sales</v>
      </c>
      <c r="E1468" s="26"/>
    </row>
    <row r="1469" spans="1:5" ht="17" x14ac:dyDescent="0.2">
      <c r="A1469" s="26" t="s">
        <v>1150</v>
      </c>
      <c r="B1469" s="22">
        <v>612173</v>
      </c>
      <c r="C1469" s="30" t="s">
        <v>70</v>
      </c>
      <c r="D1469" s="25" t="str">
        <f>HYPERLINK("https://www.linkedin.com/learning/selling-to-executives/next-steps","Selling to Executives")</f>
        <v>Selling to Executives</v>
      </c>
      <c r="E1469" s="26"/>
    </row>
    <row r="1470" spans="1:5" ht="17" x14ac:dyDescent="0.2">
      <c r="A1470" s="26" t="s">
        <v>1150</v>
      </c>
      <c r="B1470" s="22">
        <v>148625</v>
      </c>
      <c r="C1470" s="30" t="s">
        <v>84</v>
      </c>
      <c r="D1470" s="25" t="str">
        <f>HYPERLINK("https://www.linkedin.com/learning/influencing-others","Influencing Others")</f>
        <v>Influencing Others</v>
      </c>
      <c r="E1470" s="26"/>
    </row>
    <row r="1471" spans="1:5" ht="17" x14ac:dyDescent="0.2">
      <c r="A1471" s="26" t="s">
        <v>1150</v>
      </c>
      <c r="B1471" s="22">
        <v>2800332</v>
      </c>
      <c r="C1471" s="30" t="s">
        <v>84</v>
      </c>
      <c r="D1471" s="25" t="s">
        <v>681</v>
      </c>
      <c r="E1471" s="26"/>
    </row>
    <row r="1472" spans="1:5" ht="17" x14ac:dyDescent="0.2">
      <c r="A1472" s="26" t="s">
        <v>1150</v>
      </c>
      <c r="B1472" s="22">
        <v>2822652</v>
      </c>
      <c r="C1472" s="30" t="s">
        <v>84</v>
      </c>
      <c r="D1472" s="48" t="s">
        <v>544</v>
      </c>
      <c r="E1472" s="26"/>
    </row>
    <row r="1473" spans="1:5" ht="17" x14ac:dyDescent="0.2">
      <c r="A1473" s="26" t="s">
        <v>1150</v>
      </c>
      <c r="B1473" s="22">
        <v>2837265</v>
      </c>
      <c r="C1473" s="27" t="s">
        <v>84</v>
      </c>
      <c r="D1473" s="25" t="s">
        <v>1002</v>
      </c>
      <c r="E1473" s="26"/>
    </row>
    <row r="1474" spans="1:5" ht="17" x14ac:dyDescent="0.2">
      <c r="A1474" s="26" t="s">
        <v>1150</v>
      </c>
      <c r="B1474" s="22">
        <v>2839081</v>
      </c>
      <c r="C1474" s="27" t="s">
        <v>84</v>
      </c>
      <c r="D1474" s="25" t="s">
        <v>1166</v>
      </c>
      <c r="E1474" s="26"/>
    </row>
    <row r="1475" spans="1:5" ht="17" x14ac:dyDescent="0.2">
      <c r="A1475" s="26" t="s">
        <v>1150</v>
      </c>
      <c r="B1475" s="22">
        <v>193711</v>
      </c>
      <c r="C1475" s="27" t="s">
        <v>76</v>
      </c>
      <c r="D1475" s="25" t="str">
        <f>HYPERLINK("https://www.linkedin.com/learning/the-science-of-sales","The Science of Sales")</f>
        <v>The Science of Sales</v>
      </c>
      <c r="E1475" s="26"/>
    </row>
    <row r="1476" spans="1:5" ht="17" x14ac:dyDescent="0.2">
      <c r="A1476" s="26" t="s">
        <v>1150</v>
      </c>
      <c r="B1476" s="22">
        <v>415358</v>
      </c>
      <c r="C1476" s="27" t="s">
        <v>76</v>
      </c>
      <c r="D1476" s="25" t="str">
        <f>HYPERLINK("https://www.linkedin.com/learning/sales-prospecting","Sales Prospecting")</f>
        <v>Sales Prospecting</v>
      </c>
      <c r="E1476" s="28"/>
    </row>
    <row r="1477" spans="1:5" ht="17" x14ac:dyDescent="0.2">
      <c r="A1477" s="26" t="s">
        <v>1150</v>
      </c>
      <c r="B1477" s="22">
        <v>415362</v>
      </c>
      <c r="C1477" s="27" t="s">
        <v>76</v>
      </c>
      <c r="D1477" s="25" t="str">
        <f>HYPERLINK("https://www.linkedin.com/learning/making-great-sales-presentations","Making Great Sales Presentations")</f>
        <v>Making Great Sales Presentations</v>
      </c>
      <c r="E1477" s="28"/>
    </row>
    <row r="1478" spans="1:5" ht="17" x14ac:dyDescent="0.2">
      <c r="A1478" s="26" t="s">
        <v>1150</v>
      </c>
      <c r="B1478" s="22">
        <v>453287</v>
      </c>
      <c r="C1478" s="27" t="s">
        <v>76</v>
      </c>
      <c r="D1478" s="25" t="str">
        <f>HYPERLINK("https://www.linkedin.com/learning/managing-your-sales-territory","Managing Your Sales Territory")</f>
        <v>Managing Your Sales Territory</v>
      </c>
      <c r="E1478" s="28"/>
    </row>
    <row r="1479" spans="1:5" ht="17" x14ac:dyDescent="0.2">
      <c r="A1479" s="26" t="s">
        <v>1150</v>
      </c>
      <c r="B1479" s="22">
        <v>453288</v>
      </c>
      <c r="C1479" s="27" t="s">
        <v>76</v>
      </c>
      <c r="D1479" s="25" t="str">
        <f>HYPERLINK("https://www.linkedin.com/learning/analyzing-sales-competitors","Analyzing Sales Competitors")</f>
        <v>Analyzing Sales Competitors</v>
      </c>
      <c r="E1479" s="28"/>
    </row>
    <row r="1480" spans="1:5" ht="17" x14ac:dyDescent="0.2">
      <c r="A1480" s="26" t="s">
        <v>1150</v>
      </c>
      <c r="B1480" s="22">
        <v>460440</v>
      </c>
      <c r="C1480" s="27" t="s">
        <v>76</v>
      </c>
      <c r="D1480" s="25" t="str">
        <f>HYPERLINK("https://www.linkedin.com/learning/identify-sales-growth-opportunities/welcome","Identify Sales Growth Opportunities")</f>
        <v>Identify Sales Growth Opportunities</v>
      </c>
      <c r="E1480" s="28"/>
    </row>
    <row r="1481" spans="1:5" ht="17" x14ac:dyDescent="0.2">
      <c r="A1481" s="26" t="s">
        <v>1150</v>
      </c>
      <c r="B1481" s="22">
        <v>460443</v>
      </c>
      <c r="C1481" s="27" t="s">
        <v>76</v>
      </c>
      <c r="D1481" s="25" t="str">
        <f>HYPERLINK("https://www.linkedin.com/learning/measure-salesforce-effectiveness","Measure Salesforce Effectiveness")</f>
        <v>Measure Salesforce Effectiveness</v>
      </c>
      <c r="E1481" s="28"/>
    </row>
    <row r="1482" spans="1:5" ht="17" x14ac:dyDescent="0.2">
      <c r="A1482" s="26" t="s">
        <v>1150</v>
      </c>
      <c r="B1482" s="22">
        <v>461911</v>
      </c>
      <c r="C1482" s="27" t="s">
        <v>76</v>
      </c>
      <c r="D1482" s="25" t="str">
        <f>HYPERLINK("https://www.linkedin.com/learning/sales-negotiation/welcome","Sales Negotiation")</f>
        <v>Sales Negotiation</v>
      </c>
      <c r="E1482" s="28"/>
    </row>
    <row r="1483" spans="1:5" ht="17" x14ac:dyDescent="0.2">
      <c r="A1483" s="26" t="s">
        <v>1150</v>
      </c>
      <c r="B1483" s="22">
        <v>461912</v>
      </c>
      <c r="C1483" s="27" t="s">
        <v>76</v>
      </c>
      <c r="D1483" s="25" t="str">
        <f>HYPERLINK("https://www.linkedin.com/learning/purpose-driven-sales/welcome","Purpose-Driven Sales")</f>
        <v>Purpose-Driven Sales</v>
      </c>
      <c r="E1483" s="28"/>
    </row>
    <row r="1484" spans="1:5" ht="17" x14ac:dyDescent="0.2">
      <c r="A1484" s="26" t="s">
        <v>1150</v>
      </c>
      <c r="B1484" s="22">
        <v>504664</v>
      </c>
      <c r="C1484" s="27" t="s">
        <v>76</v>
      </c>
      <c r="D1484" s="25" t="str">
        <f>HYPERLINK("https://www.linkedin.com/learning/persuasive-selling","Persuasive Selling")</f>
        <v>Persuasive Selling</v>
      </c>
      <c r="E1484" s="28"/>
    </row>
    <row r="1485" spans="1:5" ht="17" x14ac:dyDescent="0.2">
      <c r="A1485" s="26" t="s">
        <v>1150</v>
      </c>
      <c r="B1485" s="22">
        <v>548711</v>
      </c>
      <c r="C1485" s="27" t="s">
        <v>76</v>
      </c>
      <c r="D1485" s="25" t="str">
        <f>HYPERLINK("https://www.linkedin.com/learning/sales-forecasting","Sales Forecasting")</f>
        <v>Sales Forecasting</v>
      </c>
      <c r="E1485" s="28"/>
    </row>
    <row r="1486" spans="1:5" ht="17" x14ac:dyDescent="0.2">
      <c r="A1486" s="26" t="s">
        <v>1150</v>
      </c>
      <c r="B1486" s="22">
        <v>548713</v>
      </c>
      <c r="C1486" s="27" t="s">
        <v>76</v>
      </c>
      <c r="D1486" s="25" t="str">
        <f>HYPERLINK("https://www.linkedin.com/learning/key-account-management","Key Account Management")</f>
        <v>Key Account Management</v>
      </c>
      <c r="E1486" s="28"/>
    </row>
    <row r="1487" spans="1:5" ht="17" x14ac:dyDescent="0.2">
      <c r="A1487" s="26" t="s">
        <v>1150</v>
      </c>
      <c r="B1487" s="22">
        <v>560125</v>
      </c>
      <c r="C1487" s="27" t="s">
        <v>76</v>
      </c>
      <c r="D1487" s="25" t="str">
        <f>HYPERLINK("https://www.linkedin.com/learning/sales-channel-management","Sales Channel Management")</f>
        <v>Sales Channel Management</v>
      </c>
      <c r="E1487" s="28"/>
    </row>
    <row r="1488" spans="1:5" ht="17" x14ac:dyDescent="0.2">
      <c r="A1488" s="26" t="s">
        <v>1150</v>
      </c>
      <c r="B1488" s="22">
        <v>587596</v>
      </c>
      <c r="C1488" s="27" t="s">
        <v>76</v>
      </c>
      <c r="D1488" s="25" t="str">
        <f>HYPERLINK("https://www.linkedin.com/learning/sales-performance-measurement-and-reporting","Sales Performance Measurement and Reporting")</f>
        <v>Sales Performance Measurement and Reporting</v>
      </c>
      <c r="E1488" s="28"/>
    </row>
    <row r="1489" spans="1:5" ht="17" x14ac:dyDescent="0.2">
      <c r="A1489" s="26" t="s">
        <v>1150</v>
      </c>
      <c r="B1489" s="22">
        <v>602886</v>
      </c>
      <c r="C1489" s="27" t="s">
        <v>76</v>
      </c>
      <c r="D1489" s="25" t="str">
        <f>HYPERLINK("https://www.linkedin.com/learning/sales-develop-a-service-orientation","Sales: Develop a Service Orientation")</f>
        <v>Sales: Develop a Service Orientation</v>
      </c>
      <c r="E1489" s="28"/>
    </row>
    <row r="1490" spans="1:5" ht="17" x14ac:dyDescent="0.2">
      <c r="A1490" s="26" t="s">
        <v>1150</v>
      </c>
      <c r="B1490" s="22">
        <v>602887</v>
      </c>
      <c r="C1490" s="27" t="s">
        <v>76</v>
      </c>
      <c r="D1490" s="25" t="str">
        <f>HYPERLINK("https://www.linkedin.com/learning/sales-customer-success","Sales: Customer Success")</f>
        <v>Sales: Customer Success</v>
      </c>
      <c r="E1490" s="28"/>
    </row>
    <row r="1491" spans="1:5" ht="17" x14ac:dyDescent="0.2">
      <c r="A1491" s="26" t="s">
        <v>1150</v>
      </c>
      <c r="B1491" s="22">
        <v>624264</v>
      </c>
      <c r="C1491" s="27" t="s">
        <v>76</v>
      </c>
      <c r="D1491" s="25" t="str">
        <f>HYPERLINK("https://www.linkedin.com/learning/sales-closing-a-complex-sale","Sales: Closing a Complex Sale")</f>
        <v>Sales: Closing a Complex Sale</v>
      </c>
      <c r="E1491" s="28"/>
    </row>
    <row r="1492" spans="1:5" ht="17" x14ac:dyDescent="0.2">
      <c r="A1492" s="26" t="s">
        <v>1150</v>
      </c>
      <c r="B1492" s="22">
        <v>633847</v>
      </c>
      <c r="C1492" s="27" t="s">
        <v>76</v>
      </c>
      <c r="D1492" s="25" t="str">
        <f>HYPERLINK("https://www.linkedin.com/learning/sales-pipeline-management","Sales Pipeline Management")</f>
        <v>Sales Pipeline Management</v>
      </c>
      <c r="E1492" s="28"/>
    </row>
    <row r="1493" spans="1:5" ht="17" x14ac:dyDescent="0.2">
      <c r="A1493" s="26" t="s">
        <v>1150</v>
      </c>
      <c r="B1493" s="22">
        <v>667359</v>
      </c>
      <c r="C1493" s="27" t="s">
        <v>76</v>
      </c>
      <c r="D1493" s="25" t="str">
        <f>HYPERLINK("https://www.linkedin.com/learning/sales-data-driven-sales-management","Sales: Data-Driven Sales Management")</f>
        <v>Sales: Data-Driven Sales Management</v>
      </c>
      <c r="E1493" s="28"/>
    </row>
    <row r="1494" spans="1:5" ht="17" x14ac:dyDescent="0.2">
      <c r="A1494" s="26" t="s">
        <v>1150</v>
      </c>
      <c r="B1494" s="22">
        <v>758619</v>
      </c>
      <c r="C1494" s="27" t="s">
        <v>76</v>
      </c>
      <c r="D1494" s="25" t="s">
        <v>1167</v>
      </c>
      <c r="E1494" s="28"/>
    </row>
    <row r="1495" spans="1:5" ht="17" x14ac:dyDescent="0.2">
      <c r="A1495" s="26" t="s">
        <v>1150</v>
      </c>
      <c r="B1495" s="22">
        <v>769275</v>
      </c>
      <c r="C1495" s="27" t="s">
        <v>76</v>
      </c>
      <c r="D1495" s="25" t="str">
        <f>HYPERLINK("https://www.linkedin.com/learning/cross-selling","Cross-Selling")</f>
        <v>Cross-Selling</v>
      </c>
      <c r="E1495" s="28"/>
    </row>
    <row r="1496" spans="1:5" ht="17" x14ac:dyDescent="0.2">
      <c r="A1496" s="26" t="s">
        <v>1150</v>
      </c>
      <c r="B1496" s="22">
        <v>772320</v>
      </c>
      <c r="C1496" s="27" t="s">
        <v>76</v>
      </c>
      <c r="D1496" s="25" t="str">
        <f>HYPERLINK("https://www.linkedin.com/learning/sales-handling-objections","Sales: Handling Objections")</f>
        <v>Sales: Handling Objections</v>
      </c>
      <c r="E1496" s="28"/>
    </row>
    <row r="1497" spans="1:5" ht="17" x14ac:dyDescent="0.2">
      <c r="A1497" s="26" t="s">
        <v>1150</v>
      </c>
      <c r="B1497" s="22">
        <v>2226728</v>
      </c>
      <c r="C1497" s="27" t="s">
        <v>76</v>
      </c>
      <c r="D1497" s="25" t="s">
        <v>439</v>
      </c>
      <c r="E1497" s="28"/>
    </row>
    <row r="1498" spans="1:5" ht="17" x14ac:dyDescent="0.2">
      <c r="A1498" s="26" t="s">
        <v>1150</v>
      </c>
      <c r="B1498" s="22">
        <v>2814164</v>
      </c>
      <c r="C1498" s="27" t="s">
        <v>76</v>
      </c>
      <c r="D1498" s="25" t="s">
        <v>1168</v>
      </c>
      <c r="E1498" s="28"/>
    </row>
    <row r="1499" spans="1:5" ht="17" x14ac:dyDescent="0.2">
      <c r="A1499" s="26" t="s">
        <v>1150</v>
      </c>
      <c r="B1499" s="22">
        <v>2822055</v>
      </c>
      <c r="C1499" s="27" t="s">
        <v>76</v>
      </c>
      <c r="D1499" s="25" t="s">
        <v>1169</v>
      </c>
      <c r="E1499" s="28"/>
    </row>
    <row r="1500" spans="1:5" ht="17" x14ac:dyDescent="0.2">
      <c r="A1500" s="26" t="s">
        <v>1150</v>
      </c>
      <c r="B1500" s="22">
        <v>5035799</v>
      </c>
      <c r="C1500" s="27" t="s">
        <v>76</v>
      </c>
      <c r="D1500" s="25" t="str">
        <f>HYPERLINK("https://www.linkedin.com/learning/asking-great-sales-questions-5","Asking Great Sales Questions")</f>
        <v>Asking Great Sales Questions</v>
      </c>
      <c r="E1500" s="28"/>
    </row>
    <row r="1501" spans="1:5" ht="17" x14ac:dyDescent="0.2">
      <c r="A1501" s="26" t="s">
        <v>1150</v>
      </c>
      <c r="B1501" s="22">
        <v>2846052</v>
      </c>
      <c r="C1501" s="27" t="s">
        <v>76</v>
      </c>
      <c r="D1501" s="25" t="s">
        <v>1170</v>
      </c>
      <c r="E1501" s="28"/>
    </row>
    <row r="1502" spans="1:5" ht="17" x14ac:dyDescent="0.2">
      <c r="A1502" s="90" t="s">
        <v>1171</v>
      </c>
      <c r="B1502" s="19" t="s">
        <v>10</v>
      </c>
      <c r="C1502" s="19" t="s">
        <v>11</v>
      </c>
      <c r="D1502" s="21" t="s">
        <v>12</v>
      </c>
      <c r="E1502" s="21" t="s">
        <v>13</v>
      </c>
    </row>
    <row r="1503" spans="1:5" ht="17" x14ac:dyDescent="0.2">
      <c r="A1503" s="86" t="s">
        <v>1171</v>
      </c>
      <c r="B1503" s="22">
        <v>794116</v>
      </c>
      <c r="C1503" s="27" t="s">
        <v>14</v>
      </c>
      <c r="D1503" s="25" t="s">
        <v>1172</v>
      </c>
      <c r="E1503" s="25" t="s">
        <v>1173</v>
      </c>
    </row>
    <row r="1504" spans="1:5" ht="17" x14ac:dyDescent="0.2">
      <c r="A1504" s="86" t="s">
        <v>1171</v>
      </c>
      <c r="B1504" s="22">
        <v>689761</v>
      </c>
      <c r="C1504" s="23" t="s">
        <v>14</v>
      </c>
      <c r="D1504" s="25" t="s">
        <v>99</v>
      </c>
      <c r="E1504" s="25" t="s">
        <v>1174</v>
      </c>
    </row>
    <row r="1505" spans="1:5" ht="17" x14ac:dyDescent="0.2">
      <c r="A1505" s="86" t="s">
        <v>1171</v>
      </c>
      <c r="B1505" s="22">
        <v>592487</v>
      </c>
      <c r="C1505" s="82" t="s">
        <v>14</v>
      </c>
      <c r="D1505" s="25" t="s">
        <v>1175</v>
      </c>
      <c r="E1505" s="25" t="s">
        <v>100</v>
      </c>
    </row>
    <row r="1506" spans="1:5" ht="17" x14ac:dyDescent="0.2">
      <c r="A1506" s="86" t="s">
        <v>1171</v>
      </c>
      <c r="B1506" s="22">
        <v>373562</v>
      </c>
      <c r="C1506" s="27" t="s">
        <v>14</v>
      </c>
      <c r="D1506" s="25" t="s">
        <v>1176</v>
      </c>
      <c r="E1506" s="25" t="str">
        <f>HYPERLINK("https://www.linkedin.com/learning/paths/become-a-content-strategist-2","Become a Content Strategist")</f>
        <v>Become a Content Strategist</v>
      </c>
    </row>
    <row r="1507" spans="1:5" ht="17" x14ac:dyDescent="0.2">
      <c r="A1507" s="86" t="s">
        <v>1171</v>
      </c>
      <c r="B1507" s="22">
        <v>685023</v>
      </c>
      <c r="C1507" s="27" t="s">
        <v>14</v>
      </c>
      <c r="D1507" s="25" t="s">
        <v>924</v>
      </c>
      <c r="E1507" s="25" t="str">
        <f>HYPERLINK("https://www.linkedin.com/learning/paths/become-a-business-operations-associate","Become a Business Operations Associate")</f>
        <v>Become a Business Operations Associate</v>
      </c>
    </row>
    <row r="1508" spans="1:5" ht="17" x14ac:dyDescent="0.2">
      <c r="A1508" s="86" t="s">
        <v>1171</v>
      </c>
      <c r="B1508" s="22">
        <v>602861</v>
      </c>
      <c r="C1508" s="27" t="s">
        <v>14</v>
      </c>
      <c r="D1508" s="25" t="s">
        <v>892</v>
      </c>
      <c r="E1508" s="25" t="str">
        <f>HYPERLINK("https://www.linkedin.com/learning/paths/become-a-business-analyst","Become a Business Analyst")</f>
        <v>Become a Business Analyst</v>
      </c>
    </row>
    <row r="1509" spans="1:5" ht="17" x14ac:dyDescent="0.2">
      <c r="A1509" s="86" t="s">
        <v>1171</v>
      </c>
      <c r="B1509" s="22">
        <v>5028616</v>
      </c>
      <c r="C1509" s="27" t="s">
        <v>14</v>
      </c>
      <c r="D1509" s="25" t="s">
        <v>1177</v>
      </c>
      <c r="E1509" s="25" t="str">
        <f>HYPERLINK("https://www.linkedin.com/learning/paths/applying-lean-devops-and-agile-to-your-it-organization","Applying Lean, DevOps, and Agile to Your IT Organization")</f>
        <v>Applying Lean, DevOps, and Agile to Your IT Organization</v>
      </c>
    </row>
    <row r="1510" spans="1:5" ht="17" x14ac:dyDescent="0.2">
      <c r="A1510" s="86" t="s">
        <v>1171</v>
      </c>
      <c r="B1510" s="22">
        <v>513605</v>
      </c>
      <c r="C1510" s="27" t="s">
        <v>14</v>
      </c>
      <c r="D1510" s="25" t="s">
        <v>1178</v>
      </c>
      <c r="E1510" s="25" t="str">
        <f>HYPERLINK("https://www.linkedin.com/learning/paths/digital-transformation-for-leaders","Digital Transformation for Leaders")</f>
        <v>Digital Transformation for Leaders</v>
      </c>
    </row>
    <row r="1511" spans="1:5" ht="17" x14ac:dyDescent="0.2">
      <c r="A1511" s="26" t="s">
        <v>1171</v>
      </c>
      <c r="B1511" s="22">
        <v>2817142</v>
      </c>
      <c r="C1511" s="82" t="s">
        <v>14</v>
      </c>
      <c r="D1511" s="25" t="s">
        <v>1179</v>
      </c>
      <c r="E1511" s="25" t="str">
        <f>HYPERLINK("https://www.linkedin.com/learning/paths/become-a-corporate-financial-planning-analyst","Become a Corporate Financial Planning Analyst")</f>
        <v>Become a Corporate Financial Planning Analyst</v>
      </c>
    </row>
    <row r="1512" spans="1:5" ht="17" x14ac:dyDescent="0.2">
      <c r="A1512" s="86" t="s">
        <v>1171</v>
      </c>
      <c r="B1512" s="22">
        <v>2822054</v>
      </c>
      <c r="C1512" s="82" t="s">
        <v>14</v>
      </c>
      <c r="D1512" s="25" t="s">
        <v>1180</v>
      </c>
      <c r="E1512" s="25"/>
    </row>
    <row r="1513" spans="1:5" ht="17" x14ac:dyDescent="0.2">
      <c r="A1513" s="86" t="s">
        <v>1171</v>
      </c>
      <c r="B1513" s="22">
        <v>2822453</v>
      </c>
      <c r="C1513" s="91" t="s">
        <v>14</v>
      </c>
      <c r="D1513" s="92" t="s">
        <v>1181</v>
      </c>
      <c r="E1513" s="25"/>
    </row>
    <row r="1514" spans="1:5" ht="17" x14ac:dyDescent="0.2">
      <c r="A1514" s="86" t="s">
        <v>1171</v>
      </c>
      <c r="B1514" s="22">
        <v>2823579</v>
      </c>
      <c r="C1514" s="91" t="s">
        <v>14</v>
      </c>
      <c r="D1514" s="25" t="s">
        <v>127</v>
      </c>
      <c r="E1514" s="25"/>
    </row>
    <row r="1515" spans="1:5" ht="17" x14ac:dyDescent="0.2">
      <c r="A1515" s="86" t="s">
        <v>1171</v>
      </c>
      <c r="B1515" s="22">
        <v>2841614</v>
      </c>
      <c r="C1515" s="93" t="s">
        <v>17</v>
      </c>
      <c r="D1515" s="25" t="s">
        <v>402</v>
      </c>
      <c r="E1515" s="25"/>
    </row>
    <row r="1516" spans="1:5" ht="17" x14ac:dyDescent="0.2">
      <c r="A1516" s="86" t="s">
        <v>1171</v>
      </c>
      <c r="B1516" s="22">
        <v>2849263</v>
      </c>
      <c r="C1516" s="93" t="s">
        <v>17</v>
      </c>
      <c r="D1516" s="25" t="s">
        <v>700</v>
      </c>
      <c r="E1516" s="25"/>
    </row>
    <row r="1517" spans="1:5" ht="17" x14ac:dyDescent="0.2">
      <c r="A1517" s="86" t="s">
        <v>1171</v>
      </c>
      <c r="B1517" s="22">
        <v>2841524</v>
      </c>
      <c r="C1517" s="93" t="s">
        <v>17</v>
      </c>
      <c r="D1517" s="25" t="s">
        <v>405</v>
      </c>
      <c r="E1517" s="25"/>
    </row>
    <row r="1518" spans="1:5" ht="17" x14ac:dyDescent="0.2">
      <c r="A1518" s="86" t="s">
        <v>1171</v>
      </c>
      <c r="B1518" s="22">
        <v>2811712</v>
      </c>
      <c r="C1518" s="27" t="s">
        <v>17</v>
      </c>
      <c r="D1518" s="25" t="s">
        <v>111</v>
      </c>
      <c r="E1518" s="25"/>
    </row>
    <row r="1519" spans="1:5" ht="17" x14ac:dyDescent="0.2">
      <c r="A1519" s="86" t="s">
        <v>1171</v>
      </c>
      <c r="B1519" s="22">
        <v>182403</v>
      </c>
      <c r="C1519" s="27" t="s">
        <v>17</v>
      </c>
      <c r="D1519" s="25" t="s">
        <v>1182</v>
      </c>
      <c r="E1519" s="25"/>
    </row>
    <row r="1520" spans="1:5" ht="17" x14ac:dyDescent="0.2">
      <c r="A1520" s="86" t="s">
        <v>1171</v>
      </c>
      <c r="B1520" s="22">
        <v>630592</v>
      </c>
      <c r="C1520" s="27" t="s">
        <v>17</v>
      </c>
      <c r="D1520" s="25" t="s">
        <v>1183</v>
      </c>
      <c r="E1520" s="25"/>
    </row>
    <row r="1521" spans="1:5" ht="17" x14ac:dyDescent="0.2">
      <c r="A1521" s="86" t="s">
        <v>1171</v>
      </c>
      <c r="B1521" s="22">
        <v>765312</v>
      </c>
      <c r="C1521" s="27" t="s">
        <v>17</v>
      </c>
      <c r="D1521" s="34" t="s">
        <v>1184</v>
      </c>
      <c r="E1521" s="25"/>
    </row>
    <row r="1522" spans="1:5" ht="17" x14ac:dyDescent="0.2">
      <c r="A1522" s="86" t="s">
        <v>1171</v>
      </c>
      <c r="B1522" s="22">
        <v>2813305</v>
      </c>
      <c r="C1522" s="27" t="s">
        <v>17</v>
      </c>
      <c r="D1522" s="25" t="s">
        <v>1185</v>
      </c>
      <c r="E1522" s="25"/>
    </row>
    <row r="1523" spans="1:5" ht="17" x14ac:dyDescent="0.2">
      <c r="A1523" s="86" t="s">
        <v>1171</v>
      </c>
      <c r="B1523" s="22">
        <v>2814144</v>
      </c>
      <c r="C1523" s="27" t="s">
        <v>17</v>
      </c>
      <c r="D1523" s="25" t="s">
        <v>1186</v>
      </c>
      <c r="E1523" s="25"/>
    </row>
    <row r="1524" spans="1:5" ht="17" x14ac:dyDescent="0.2">
      <c r="A1524" s="86" t="s">
        <v>1171</v>
      </c>
      <c r="B1524" s="22">
        <v>2814146</v>
      </c>
      <c r="C1524" s="27" t="s">
        <v>17</v>
      </c>
      <c r="D1524" s="25" t="s">
        <v>1187</v>
      </c>
      <c r="E1524" s="25"/>
    </row>
    <row r="1525" spans="1:5" ht="17" x14ac:dyDescent="0.2">
      <c r="A1525" s="86" t="s">
        <v>1171</v>
      </c>
      <c r="B1525" s="22">
        <v>2814147</v>
      </c>
      <c r="C1525" s="27" t="s">
        <v>17</v>
      </c>
      <c r="D1525" s="25" t="s">
        <v>1188</v>
      </c>
      <c r="E1525" s="25"/>
    </row>
    <row r="1526" spans="1:5" ht="17" x14ac:dyDescent="0.2">
      <c r="A1526" s="86" t="s">
        <v>1171</v>
      </c>
      <c r="B1526" s="22">
        <v>2825726</v>
      </c>
      <c r="C1526" s="82" t="s">
        <v>17</v>
      </c>
      <c r="D1526" s="25" t="s">
        <v>1189</v>
      </c>
      <c r="E1526" s="25"/>
    </row>
    <row r="1527" spans="1:5" ht="17" x14ac:dyDescent="0.2">
      <c r="A1527" s="26" t="s">
        <v>1171</v>
      </c>
      <c r="B1527" s="22">
        <v>2822592</v>
      </c>
      <c r="C1527" s="82" t="s">
        <v>17</v>
      </c>
      <c r="D1527" s="25" t="s">
        <v>604</v>
      </c>
      <c r="E1527" s="28"/>
    </row>
    <row r="1528" spans="1:5" ht="17" x14ac:dyDescent="0.2">
      <c r="A1528" s="26" t="s">
        <v>1171</v>
      </c>
      <c r="B1528" s="22">
        <v>2852006</v>
      </c>
      <c r="C1528" s="94" t="s">
        <v>17</v>
      </c>
      <c r="D1528" s="25" t="s">
        <v>1035</v>
      </c>
      <c r="E1528" s="28"/>
    </row>
    <row r="1529" spans="1:5" ht="17" x14ac:dyDescent="0.2">
      <c r="A1529" s="26" t="s">
        <v>1171</v>
      </c>
      <c r="B1529" s="22">
        <v>2815108</v>
      </c>
      <c r="C1529" s="27" t="s">
        <v>70</v>
      </c>
      <c r="D1529" s="25" t="s">
        <v>1190</v>
      </c>
      <c r="E1529" s="28"/>
    </row>
    <row r="1530" spans="1:5" ht="17" x14ac:dyDescent="0.2">
      <c r="A1530" s="26" t="s">
        <v>1171</v>
      </c>
      <c r="B1530" s="22">
        <v>2825161</v>
      </c>
      <c r="C1530" s="82" t="s">
        <v>70</v>
      </c>
      <c r="D1530" s="25" t="s">
        <v>72</v>
      </c>
      <c r="E1530" s="28"/>
    </row>
    <row r="1531" spans="1:5" ht="17" x14ac:dyDescent="0.2">
      <c r="A1531" s="86" t="s">
        <v>1171</v>
      </c>
      <c r="B1531" s="22">
        <v>2824021</v>
      </c>
      <c r="C1531" s="82" t="s">
        <v>70</v>
      </c>
      <c r="D1531" s="25" t="s">
        <v>1191</v>
      </c>
      <c r="E1531" s="28"/>
    </row>
    <row r="1532" spans="1:5" ht="17" x14ac:dyDescent="0.2">
      <c r="A1532" s="86" t="s">
        <v>1171</v>
      </c>
      <c r="B1532" s="22">
        <v>2848327</v>
      </c>
      <c r="C1532" s="94" t="s">
        <v>70</v>
      </c>
      <c r="D1532" s="25" t="s">
        <v>1192</v>
      </c>
      <c r="E1532" s="28"/>
    </row>
    <row r="1533" spans="1:5" ht="17" x14ac:dyDescent="0.2">
      <c r="A1533" s="86" t="s">
        <v>1171</v>
      </c>
      <c r="B1533" s="22">
        <v>696327</v>
      </c>
      <c r="C1533" s="93" t="s">
        <v>70</v>
      </c>
      <c r="D1533" s="25" t="s">
        <v>1193</v>
      </c>
      <c r="E1533" s="28"/>
    </row>
    <row r="1534" spans="1:5" ht="17" x14ac:dyDescent="0.2">
      <c r="A1534" s="86" t="s">
        <v>1171</v>
      </c>
      <c r="B1534" s="22">
        <v>2825458</v>
      </c>
      <c r="C1534" s="93" t="s">
        <v>84</v>
      </c>
      <c r="D1534" s="25" t="s">
        <v>908</v>
      </c>
      <c r="E1534" s="28"/>
    </row>
    <row r="1535" spans="1:5" ht="17" x14ac:dyDescent="0.2">
      <c r="A1535" s="86" t="s">
        <v>1171</v>
      </c>
      <c r="B1535" s="22">
        <v>2244041</v>
      </c>
      <c r="C1535" s="93" t="s">
        <v>84</v>
      </c>
      <c r="D1535" s="25" t="s">
        <v>1194</v>
      </c>
      <c r="E1535" s="28"/>
    </row>
    <row r="1536" spans="1:5" ht="17" x14ac:dyDescent="0.2">
      <c r="A1536" s="86" t="s">
        <v>1171</v>
      </c>
      <c r="B1536" s="22">
        <v>2835087</v>
      </c>
      <c r="C1536" s="93" t="s">
        <v>84</v>
      </c>
      <c r="D1536" s="25" t="s">
        <v>1041</v>
      </c>
      <c r="E1536" s="28"/>
    </row>
    <row r="1537" spans="1:5" ht="17" x14ac:dyDescent="0.2">
      <c r="A1537" s="86" t="s">
        <v>1171</v>
      </c>
      <c r="B1537" s="22">
        <v>2817223</v>
      </c>
      <c r="C1537" s="93" t="s">
        <v>84</v>
      </c>
      <c r="D1537" s="25" t="s">
        <v>1195</v>
      </c>
      <c r="E1537" s="28"/>
    </row>
    <row r="1538" spans="1:5" ht="17" x14ac:dyDescent="0.2">
      <c r="A1538" s="86" t="s">
        <v>1171</v>
      </c>
      <c r="B1538" s="22">
        <v>2243043</v>
      </c>
      <c r="C1538" s="93" t="s">
        <v>84</v>
      </c>
      <c r="D1538" s="25" t="s">
        <v>951</v>
      </c>
      <c r="E1538" s="28"/>
    </row>
    <row r="1539" spans="1:5" ht="17" x14ac:dyDescent="0.2">
      <c r="A1539" s="86" t="s">
        <v>1171</v>
      </c>
      <c r="B1539" s="22">
        <v>2818050</v>
      </c>
      <c r="C1539" s="93" t="s">
        <v>84</v>
      </c>
      <c r="D1539" s="25" t="s">
        <v>680</v>
      </c>
      <c r="E1539" s="28"/>
    </row>
    <row r="1540" spans="1:5" ht="17" x14ac:dyDescent="0.2">
      <c r="A1540" s="86" t="s">
        <v>1171</v>
      </c>
      <c r="B1540" s="22">
        <v>2809588</v>
      </c>
      <c r="C1540" s="93" t="s">
        <v>84</v>
      </c>
      <c r="D1540" s="25" t="s">
        <v>1038</v>
      </c>
      <c r="E1540" s="28"/>
    </row>
    <row r="1541" spans="1:5" ht="17" x14ac:dyDescent="0.2">
      <c r="A1541" s="86" t="s">
        <v>1171</v>
      </c>
      <c r="B1541" s="22">
        <v>2849197</v>
      </c>
      <c r="C1541" s="93" t="s">
        <v>76</v>
      </c>
      <c r="D1541" s="25" t="s">
        <v>1045</v>
      </c>
      <c r="E1541" s="28"/>
    </row>
    <row r="1542" spans="1:5" ht="17" x14ac:dyDescent="0.2">
      <c r="A1542" s="86" t="s">
        <v>1171</v>
      </c>
      <c r="B1542" s="22">
        <v>2833101</v>
      </c>
      <c r="C1542" s="93" t="s">
        <v>76</v>
      </c>
      <c r="D1542" s="25" t="s">
        <v>428</v>
      </c>
      <c r="E1542" s="28"/>
    </row>
    <row r="1543" spans="1:5" ht="17" x14ac:dyDescent="0.2">
      <c r="A1543" s="86" t="s">
        <v>1171</v>
      </c>
      <c r="B1543" s="22">
        <v>2825616</v>
      </c>
      <c r="C1543" s="93" t="s">
        <v>76</v>
      </c>
      <c r="D1543" s="25" t="s">
        <v>732</v>
      </c>
      <c r="E1543" s="28"/>
    </row>
    <row r="1544" spans="1:5" ht="17" x14ac:dyDescent="0.2">
      <c r="A1544" s="86" t="s">
        <v>1171</v>
      </c>
      <c r="B1544" s="22">
        <v>2833073</v>
      </c>
      <c r="C1544" s="93" t="s">
        <v>76</v>
      </c>
      <c r="D1544" s="25" t="s">
        <v>431</v>
      </c>
      <c r="E1544" s="28"/>
    </row>
    <row r="1545" spans="1:5" ht="17" x14ac:dyDescent="0.2">
      <c r="A1545" s="86" t="s">
        <v>1171</v>
      </c>
      <c r="B1545" s="22">
        <v>599596</v>
      </c>
      <c r="C1545" s="27" t="s">
        <v>76</v>
      </c>
      <c r="D1545" s="25" t="s">
        <v>1196</v>
      </c>
      <c r="E1545" s="28"/>
    </row>
    <row r="1546" spans="1:5" ht="17" x14ac:dyDescent="0.2">
      <c r="A1546" s="86" t="s">
        <v>1171</v>
      </c>
      <c r="B1546" s="22">
        <v>592485</v>
      </c>
      <c r="C1546" s="82" t="s">
        <v>76</v>
      </c>
      <c r="D1546" s="25" t="s">
        <v>1197</v>
      </c>
      <c r="E1546" s="28"/>
    </row>
    <row r="1547" spans="1:5" ht="17" x14ac:dyDescent="0.2">
      <c r="A1547" s="86" t="s">
        <v>1171</v>
      </c>
      <c r="B1547" s="22">
        <v>373563</v>
      </c>
      <c r="C1547" s="82" t="s">
        <v>76</v>
      </c>
      <c r="D1547" s="25" t="s">
        <v>1198</v>
      </c>
      <c r="E1547" s="28"/>
    </row>
    <row r="1548" spans="1:5" ht="17" x14ac:dyDescent="0.2">
      <c r="A1548" s="86" t="s">
        <v>1171</v>
      </c>
      <c r="B1548" s="22">
        <v>197201</v>
      </c>
      <c r="C1548" s="82" t="s">
        <v>76</v>
      </c>
      <c r="D1548" s="25" t="s">
        <v>1007</v>
      </c>
      <c r="E1548" s="28"/>
    </row>
    <row r="1549" spans="1:5" ht="17" x14ac:dyDescent="0.2">
      <c r="A1549" s="86" t="s">
        <v>1171</v>
      </c>
      <c r="B1549" s="22">
        <v>373992</v>
      </c>
      <c r="C1549" s="82" t="s">
        <v>76</v>
      </c>
      <c r="D1549" s="52" t="str">
        <f>HYPERLINK("https://www.linkedin.com/learning/executive-decision-making/planning-for-long-range-impacts","Executive Decision-Making")</f>
        <v>Executive Decision-Making</v>
      </c>
      <c r="E1549" s="28"/>
    </row>
    <row r="1550" spans="1:5" ht="17" x14ac:dyDescent="0.2">
      <c r="A1550" s="86" t="s">
        <v>1171</v>
      </c>
      <c r="B1550" s="22">
        <v>167027</v>
      </c>
      <c r="C1550" s="23" t="s">
        <v>76</v>
      </c>
      <c r="D1550" s="25" t="s">
        <v>967</v>
      </c>
      <c r="E1550" s="28"/>
    </row>
    <row r="1551" spans="1:5" ht="17" x14ac:dyDescent="0.2">
      <c r="A1551" s="86" t="s">
        <v>1171</v>
      </c>
      <c r="B1551" s="22">
        <v>422094</v>
      </c>
      <c r="C1551" s="27" t="s">
        <v>76</v>
      </c>
      <c r="D1551" s="25" t="s">
        <v>1199</v>
      </c>
      <c r="E1551" s="28"/>
    </row>
    <row r="1552" spans="1:5" ht="17" x14ac:dyDescent="0.2">
      <c r="A1552" s="86" t="s">
        <v>1171</v>
      </c>
      <c r="B1552" s="22">
        <v>520220</v>
      </c>
      <c r="C1552" s="27" t="s">
        <v>76</v>
      </c>
      <c r="D1552" s="25" t="s">
        <v>129</v>
      </c>
      <c r="E1552" s="28"/>
    </row>
    <row r="1553" spans="1:5" ht="17" x14ac:dyDescent="0.2">
      <c r="A1553" s="86" t="s">
        <v>1171</v>
      </c>
      <c r="B1553" s="22">
        <v>599594</v>
      </c>
      <c r="C1553" s="23" t="s">
        <v>76</v>
      </c>
      <c r="D1553" s="25" t="s">
        <v>1200</v>
      </c>
      <c r="E1553" s="28"/>
    </row>
    <row r="1554" spans="1:5" ht="17" x14ac:dyDescent="0.2">
      <c r="A1554" s="86" t="s">
        <v>1171</v>
      </c>
      <c r="B1554" s="22">
        <v>434461</v>
      </c>
      <c r="C1554" s="82" t="s">
        <v>76</v>
      </c>
      <c r="D1554" s="25" t="s">
        <v>808</v>
      </c>
      <c r="E1554" s="28"/>
    </row>
    <row r="1555" spans="1:5" ht="17" x14ac:dyDescent="0.2">
      <c r="A1555" s="86" t="s">
        <v>1171</v>
      </c>
      <c r="B1555" s="22">
        <v>183682</v>
      </c>
      <c r="C1555" s="23" t="s">
        <v>76</v>
      </c>
      <c r="D1555" s="25" t="s">
        <v>1201</v>
      </c>
      <c r="E1555" s="28"/>
    </row>
    <row r="1556" spans="1:5" ht="17" x14ac:dyDescent="0.2">
      <c r="A1556" s="86" t="s">
        <v>1171</v>
      </c>
      <c r="B1556" s="22">
        <v>431182</v>
      </c>
      <c r="C1556" s="82" t="s">
        <v>76</v>
      </c>
      <c r="D1556" s="25" t="s">
        <v>916</v>
      </c>
      <c r="E1556" s="28"/>
    </row>
    <row r="1557" spans="1:5" ht="17" x14ac:dyDescent="0.2">
      <c r="A1557" s="86" t="s">
        <v>1171</v>
      </c>
      <c r="B1557" s="22">
        <v>2252216</v>
      </c>
      <c r="C1557" s="82" t="s">
        <v>76</v>
      </c>
      <c r="D1557" s="25" t="s">
        <v>300</v>
      </c>
      <c r="E1557" s="28"/>
    </row>
    <row r="1558" spans="1:5" ht="17" x14ac:dyDescent="0.2">
      <c r="A1558" s="86" t="s">
        <v>1171</v>
      </c>
      <c r="B1558" s="22">
        <v>2823038</v>
      </c>
      <c r="C1558" s="82" t="s">
        <v>76</v>
      </c>
      <c r="D1558" s="25" t="s">
        <v>1202</v>
      </c>
      <c r="E1558" s="28"/>
    </row>
    <row r="1559" spans="1:5" ht="17" x14ac:dyDescent="0.2">
      <c r="A1559" s="86" t="s">
        <v>1171</v>
      </c>
      <c r="B1559" s="22">
        <v>2823041</v>
      </c>
      <c r="C1559" s="82" t="s">
        <v>76</v>
      </c>
      <c r="D1559" s="25" t="s">
        <v>918</v>
      </c>
      <c r="E1559" s="28"/>
    </row>
    <row r="1560" spans="1:5" ht="17" x14ac:dyDescent="0.2">
      <c r="A1560" s="86" t="s">
        <v>1171</v>
      </c>
      <c r="B1560" s="22">
        <v>2213244</v>
      </c>
      <c r="C1560" s="82" t="s">
        <v>76</v>
      </c>
      <c r="D1560" s="25" t="s">
        <v>1203</v>
      </c>
      <c r="E1560" s="28"/>
    </row>
    <row r="1561" spans="1:5" ht="17" x14ac:dyDescent="0.2">
      <c r="A1561" s="86" t="s">
        <v>1171</v>
      </c>
      <c r="B1561" s="22">
        <v>2813285</v>
      </c>
      <c r="C1561" s="82" t="s">
        <v>76</v>
      </c>
      <c r="D1561" s="25" t="s">
        <v>1204</v>
      </c>
      <c r="E1561" s="28"/>
    </row>
    <row r="1562" spans="1:5" ht="17" x14ac:dyDescent="0.2">
      <c r="A1562" s="86" t="s">
        <v>1171</v>
      </c>
      <c r="B1562" s="22">
        <v>2822056</v>
      </c>
      <c r="C1562" s="82" t="s">
        <v>76</v>
      </c>
      <c r="D1562" s="25" t="s">
        <v>1205</v>
      </c>
      <c r="E1562" s="28"/>
    </row>
    <row r="1563" spans="1:5" ht="17" x14ac:dyDescent="0.2">
      <c r="A1563" s="86" t="s">
        <v>1171</v>
      </c>
      <c r="B1563" s="22">
        <v>2825373</v>
      </c>
      <c r="C1563" s="82" t="s">
        <v>76</v>
      </c>
      <c r="D1563" s="25" t="s">
        <v>1206</v>
      </c>
      <c r="E1563" s="28"/>
    </row>
    <row r="1564" spans="1:5" ht="17" x14ac:dyDescent="0.2">
      <c r="A1564" s="86" t="s">
        <v>1171</v>
      </c>
      <c r="B1564" s="22">
        <v>2825455</v>
      </c>
      <c r="C1564" s="82" t="s">
        <v>76</v>
      </c>
      <c r="D1564" s="25" t="s">
        <v>483</v>
      </c>
      <c r="E1564" s="28"/>
    </row>
    <row r="1565" spans="1:5" ht="17" x14ac:dyDescent="0.2">
      <c r="A1565" s="86" t="s">
        <v>1207</v>
      </c>
      <c r="B1565" s="19" t="s">
        <v>10</v>
      </c>
      <c r="C1565" s="19" t="s">
        <v>11</v>
      </c>
      <c r="D1565" s="21" t="s">
        <v>12</v>
      </c>
      <c r="E1565" s="21" t="s">
        <v>13</v>
      </c>
    </row>
    <row r="1566" spans="1:5" ht="17" x14ac:dyDescent="0.2">
      <c r="A1566" s="86" t="s">
        <v>1207</v>
      </c>
      <c r="B1566" s="22">
        <v>570964</v>
      </c>
      <c r="C1566" s="27" t="s">
        <v>14</v>
      </c>
      <c r="D1566" s="25" t="s">
        <v>749</v>
      </c>
      <c r="E1566" s="25" t="s">
        <v>1208</v>
      </c>
    </row>
    <row r="1567" spans="1:5" ht="17" x14ac:dyDescent="0.2">
      <c r="A1567" s="86" t="s">
        <v>1207</v>
      </c>
      <c r="B1567" s="22">
        <v>574670</v>
      </c>
      <c r="C1567" s="27" t="s">
        <v>14</v>
      </c>
      <c r="D1567" s="25" t="s">
        <v>141</v>
      </c>
      <c r="E1567" s="25" t="s">
        <v>1209</v>
      </c>
    </row>
    <row r="1568" spans="1:5" ht="17" x14ac:dyDescent="0.2">
      <c r="A1568" s="86" t="s">
        <v>1207</v>
      </c>
      <c r="B1568" s="22">
        <v>624208</v>
      </c>
      <c r="C1568" s="27" t="s">
        <v>14</v>
      </c>
      <c r="D1568" s="25" t="s">
        <v>1210</v>
      </c>
      <c r="E1568" s="25" t="s">
        <v>142</v>
      </c>
    </row>
    <row r="1569" spans="1:5" ht="17" x14ac:dyDescent="0.2">
      <c r="A1569" s="86" t="s">
        <v>1207</v>
      </c>
      <c r="B1569" s="22">
        <v>688515</v>
      </c>
      <c r="C1569" s="27" t="s">
        <v>14</v>
      </c>
      <c r="D1569" s="25" t="s">
        <v>759</v>
      </c>
      <c r="E1569" s="52" t="str">
        <f>HYPERLINK("https://www.linkedin.com/learning/paths/finding-and-retaining-talent","Finding and Retaining Talent")</f>
        <v>Finding and Retaining Talent</v>
      </c>
    </row>
    <row r="1570" spans="1:5" ht="17" x14ac:dyDescent="0.2">
      <c r="A1570" s="86" t="s">
        <v>1207</v>
      </c>
      <c r="B1570" s="22">
        <v>2812133</v>
      </c>
      <c r="C1570" s="27" t="s">
        <v>14</v>
      </c>
      <c r="D1570" s="25" t="s">
        <v>662</v>
      </c>
      <c r="E1570" s="52" t="str">
        <f>HYPERLINK("https://www.linkedin.com/learning/paths/advance-your-skills-as-a-manager","Advance Your Skills as a Manager")</f>
        <v>Advance Your Skills as a Manager</v>
      </c>
    </row>
    <row r="1571" spans="1:5" ht="17" x14ac:dyDescent="0.2">
      <c r="A1571" s="86" t="s">
        <v>1207</v>
      </c>
      <c r="B1571" s="22">
        <v>2822467</v>
      </c>
      <c r="C1571" s="27" t="s">
        <v>14</v>
      </c>
      <c r="D1571" s="25" t="s">
        <v>761</v>
      </c>
      <c r="E1571" s="52" t="str">
        <f>HYPERLINK("https://www.linkedin.com/learning/paths/diversity-inclusion-and-belonging-for-leaders-and-managers","Diversity, Inclusion and Belonging for Leaders and Managers")</f>
        <v>Diversity, Inclusion and Belonging for Leaders and Managers</v>
      </c>
    </row>
    <row r="1572" spans="1:5" ht="17" x14ac:dyDescent="0.2">
      <c r="A1572" s="86" t="s">
        <v>1207</v>
      </c>
      <c r="B1572" s="22">
        <v>427474</v>
      </c>
      <c r="C1572" s="27" t="s">
        <v>17</v>
      </c>
      <c r="D1572" s="25" t="s">
        <v>147</v>
      </c>
      <c r="E1572" s="52" t="str">
        <f>HYPERLINK("https://www.linkedin.com/learning/paths/become-a-senior-manager","Become a Senior Manager")</f>
        <v>Become a Senior Manager</v>
      </c>
    </row>
    <row r="1573" spans="1:5" ht="17" x14ac:dyDescent="0.2">
      <c r="A1573" s="86" t="s">
        <v>1207</v>
      </c>
      <c r="B1573" s="22">
        <v>456353</v>
      </c>
      <c r="C1573" s="27" t="s">
        <v>17</v>
      </c>
      <c r="D1573" s="48" t="s">
        <v>151</v>
      </c>
      <c r="E1573" s="28"/>
    </row>
    <row r="1574" spans="1:5" ht="17" x14ac:dyDescent="0.2">
      <c r="A1574" s="86" t="s">
        <v>1207</v>
      </c>
      <c r="B1574" s="22">
        <v>536419</v>
      </c>
      <c r="C1574" s="27" t="s">
        <v>17</v>
      </c>
      <c r="D1574" s="25" t="s">
        <v>992</v>
      </c>
      <c r="E1574" s="28"/>
    </row>
    <row r="1575" spans="1:5" ht="17" x14ac:dyDescent="0.2">
      <c r="A1575" s="86" t="s">
        <v>1207</v>
      </c>
      <c r="B1575" s="22">
        <v>604211</v>
      </c>
      <c r="C1575" s="27" t="s">
        <v>17</v>
      </c>
      <c r="D1575" s="25" t="s">
        <v>987</v>
      </c>
      <c r="E1575" s="28"/>
    </row>
    <row r="1576" spans="1:5" ht="17" x14ac:dyDescent="0.2">
      <c r="A1576" s="86" t="s">
        <v>1207</v>
      </c>
      <c r="B1576" s="22">
        <v>604213</v>
      </c>
      <c r="C1576" s="27" t="s">
        <v>17</v>
      </c>
      <c r="D1576" s="25" t="s">
        <v>988</v>
      </c>
      <c r="E1576" s="28"/>
    </row>
    <row r="1577" spans="1:5" ht="17" x14ac:dyDescent="0.2">
      <c r="A1577" s="86" t="s">
        <v>1207</v>
      </c>
      <c r="B1577" s="22">
        <v>647657</v>
      </c>
      <c r="C1577" s="27" t="s">
        <v>17</v>
      </c>
      <c r="D1577" s="25" t="s">
        <v>145</v>
      </c>
      <c r="E1577" s="28"/>
    </row>
    <row r="1578" spans="1:5" ht="17" x14ac:dyDescent="0.2">
      <c r="A1578" s="86" t="s">
        <v>1207</v>
      </c>
      <c r="B1578" s="22">
        <v>2825747</v>
      </c>
      <c r="C1578" s="27" t="s">
        <v>17</v>
      </c>
      <c r="D1578" s="25" t="s">
        <v>1211</v>
      </c>
      <c r="E1578" s="28"/>
    </row>
    <row r="1579" spans="1:5" ht="17" x14ac:dyDescent="0.2">
      <c r="A1579" s="86" t="s">
        <v>1207</v>
      </c>
      <c r="B1579" s="22">
        <v>2854005</v>
      </c>
      <c r="C1579" s="27" t="s">
        <v>17</v>
      </c>
      <c r="D1579" s="25" t="s">
        <v>1212</v>
      </c>
      <c r="E1579" s="28"/>
    </row>
    <row r="1580" spans="1:5" ht="17" x14ac:dyDescent="0.2">
      <c r="A1580" s="86" t="s">
        <v>1207</v>
      </c>
      <c r="B1580" s="22">
        <v>656791</v>
      </c>
      <c r="C1580" s="27" t="s">
        <v>17</v>
      </c>
      <c r="D1580" s="25" t="s">
        <v>1213</v>
      </c>
      <c r="E1580" s="28"/>
    </row>
    <row r="1581" spans="1:5" ht="17" x14ac:dyDescent="0.2">
      <c r="A1581" s="26" t="s">
        <v>1207</v>
      </c>
      <c r="B1581" s="22">
        <v>672246</v>
      </c>
      <c r="C1581" s="27" t="s">
        <v>17</v>
      </c>
      <c r="D1581" s="25" t="s">
        <v>1214</v>
      </c>
      <c r="E1581" s="28"/>
    </row>
    <row r="1582" spans="1:5" ht="17" x14ac:dyDescent="0.2">
      <c r="A1582" s="26" t="s">
        <v>1207</v>
      </c>
      <c r="B1582" s="22">
        <v>693069</v>
      </c>
      <c r="C1582" s="27" t="s">
        <v>17</v>
      </c>
      <c r="D1582" s="25" t="s">
        <v>986</v>
      </c>
      <c r="E1582" s="28"/>
    </row>
    <row r="1583" spans="1:5" ht="17" x14ac:dyDescent="0.2">
      <c r="A1583" s="26" t="s">
        <v>1207</v>
      </c>
      <c r="B1583" s="22">
        <v>721895</v>
      </c>
      <c r="C1583" s="27" t="s">
        <v>17</v>
      </c>
      <c r="D1583" s="25" t="s">
        <v>1215</v>
      </c>
      <c r="E1583" s="28"/>
    </row>
    <row r="1584" spans="1:5" ht="17" x14ac:dyDescent="0.2">
      <c r="A1584" s="26" t="s">
        <v>1207</v>
      </c>
      <c r="B1584" s="22">
        <v>737767</v>
      </c>
      <c r="C1584" s="27" t="s">
        <v>17</v>
      </c>
      <c r="D1584" s="34" t="s">
        <v>1216</v>
      </c>
      <c r="E1584" s="28"/>
    </row>
    <row r="1585" spans="1:5" ht="17" x14ac:dyDescent="0.2">
      <c r="A1585" s="26" t="s">
        <v>1207</v>
      </c>
      <c r="B1585" s="22">
        <v>2805907</v>
      </c>
      <c r="C1585" s="27" t="s">
        <v>17</v>
      </c>
      <c r="D1585" s="25" t="s">
        <v>259</v>
      </c>
      <c r="E1585" s="28"/>
    </row>
    <row r="1586" spans="1:5" ht="17" x14ac:dyDescent="0.2">
      <c r="A1586" s="26" t="s">
        <v>1207</v>
      </c>
      <c r="B1586" s="22">
        <v>2807858</v>
      </c>
      <c r="C1586" s="27" t="s">
        <v>17</v>
      </c>
      <c r="D1586" s="25" t="s">
        <v>260</v>
      </c>
      <c r="E1586" s="28"/>
    </row>
    <row r="1587" spans="1:5" ht="17" x14ac:dyDescent="0.2">
      <c r="A1587" s="86" t="s">
        <v>1207</v>
      </c>
      <c r="B1587" s="22">
        <v>2823254</v>
      </c>
      <c r="C1587" s="27" t="s">
        <v>17</v>
      </c>
      <c r="D1587" s="25" t="s">
        <v>1217</v>
      </c>
      <c r="E1587" s="28"/>
    </row>
    <row r="1588" spans="1:5" ht="17" x14ac:dyDescent="0.2">
      <c r="A1588" s="86" t="s">
        <v>1207</v>
      </c>
      <c r="B1588" s="22">
        <v>2825160</v>
      </c>
      <c r="C1588" s="27" t="s">
        <v>17</v>
      </c>
      <c r="D1588" s="25" t="s">
        <v>1218</v>
      </c>
      <c r="E1588" s="28"/>
    </row>
    <row r="1589" spans="1:5" ht="17" x14ac:dyDescent="0.2">
      <c r="A1589" s="86" t="s">
        <v>1207</v>
      </c>
      <c r="B1589" s="22">
        <v>2822308</v>
      </c>
      <c r="C1589" s="27" t="s">
        <v>70</v>
      </c>
      <c r="D1589" s="25" t="s">
        <v>1219</v>
      </c>
      <c r="E1589" s="28"/>
    </row>
    <row r="1590" spans="1:5" ht="17" x14ac:dyDescent="0.2">
      <c r="A1590" s="86" t="s">
        <v>1207</v>
      </c>
      <c r="B1590" s="22">
        <v>2825161</v>
      </c>
      <c r="C1590" s="27" t="s">
        <v>70</v>
      </c>
      <c r="D1590" s="25" t="s">
        <v>72</v>
      </c>
      <c r="E1590" s="28"/>
    </row>
    <row r="1591" spans="1:5" ht="17" x14ac:dyDescent="0.2">
      <c r="A1591" s="86" t="s">
        <v>1207</v>
      </c>
      <c r="B1591" s="22">
        <v>2825489</v>
      </c>
      <c r="C1591" s="27" t="s">
        <v>70</v>
      </c>
      <c r="D1591" s="25" t="s">
        <v>998</v>
      </c>
      <c r="E1591" s="28"/>
    </row>
    <row r="1592" spans="1:5" ht="17" x14ac:dyDescent="0.2">
      <c r="A1592" s="86" t="s">
        <v>1207</v>
      </c>
      <c r="B1592" s="22">
        <v>2825600</v>
      </c>
      <c r="C1592" s="27" t="s">
        <v>70</v>
      </c>
      <c r="D1592" s="25" t="s">
        <v>1220</v>
      </c>
      <c r="E1592" s="28"/>
    </row>
    <row r="1593" spans="1:5" ht="17" x14ac:dyDescent="0.2">
      <c r="A1593" s="86" t="s">
        <v>1207</v>
      </c>
      <c r="B1593" s="22">
        <v>622050</v>
      </c>
      <c r="C1593" s="30" t="s">
        <v>70</v>
      </c>
      <c r="D1593" s="25" t="s">
        <v>121</v>
      </c>
      <c r="E1593" s="28"/>
    </row>
    <row r="1594" spans="1:5" ht="17" x14ac:dyDescent="0.2">
      <c r="A1594" s="86" t="s">
        <v>1207</v>
      </c>
      <c r="B1594" s="22">
        <v>622053</v>
      </c>
      <c r="C1594" s="30" t="s">
        <v>70</v>
      </c>
      <c r="D1594" s="25" t="s">
        <v>223</v>
      </c>
      <c r="E1594" s="28"/>
    </row>
    <row r="1595" spans="1:5" ht="17" x14ac:dyDescent="0.2">
      <c r="A1595" s="86" t="s">
        <v>1207</v>
      </c>
      <c r="B1595" s="22">
        <v>661748</v>
      </c>
      <c r="C1595" s="30" t="s">
        <v>70</v>
      </c>
      <c r="D1595" s="25" t="s">
        <v>170</v>
      </c>
      <c r="E1595" s="28"/>
    </row>
    <row r="1596" spans="1:5" ht="17" x14ac:dyDescent="0.2">
      <c r="A1596" s="86" t="s">
        <v>1207</v>
      </c>
      <c r="B1596" s="22">
        <v>661750</v>
      </c>
      <c r="C1596" s="30" t="s">
        <v>70</v>
      </c>
      <c r="D1596" s="25" t="s">
        <v>166</v>
      </c>
      <c r="E1596" s="28"/>
    </row>
    <row r="1597" spans="1:5" ht="17" x14ac:dyDescent="0.2">
      <c r="A1597" s="86" t="s">
        <v>1207</v>
      </c>
      <c r="B1597" s="22">
        <v>688508</v>
      </c>
      <c r="C1597" s="30" t="s">
        <v>70</v>
      </c>
      <c r="D1597" s="25" t="s">
        <v>169</v>
      </c>
      <c r="E1597" s="28"/>
    </row>
    <row r="1598" spans="1:5" ht="17" x14ac:dyDescent="0.2">
      <c r="A1598" s="86" t="s">
        <v>1207</v>
      </c>
      <c r="B1598" s="22">
        <v>802842</v>
      </c>
      <c r="C1598" s="30" t="s">
        <v>70</v>
      </c>
      <c r="D1598" s="25" t="s">
        <v>165</v>
      </c>
      <c r="E1598" s="28"/>
    </row>
    <row r="1599" spans="1:5" ht="17" x14ac:dyDescent="0.2">
      <c r="A1599" s="86" t="s">
        <v>1207</v>
      </c>
      <c r="B1599" s="22">
        <v>5015861</v>
      </c>
      <c r="C1599" s="30" t="s">
        <v>70</v>
      </c>
      <c r="D1599" s="25" t="s">
        <v>1221</v>
      </c>
      <c r="E1599" s="28"/>
    </row>
    <row r="1600" spans="1:5" ht="17" x14ac:dyDescent="0.2">
      <c r="A1600" s="86" t="s">
        <v>1207</v>
      </c>
      <c r="B1600" s="22">
        <v>2824254</v>
      </c>
      <c r="C1600" s="30" t="s">
        <v>70</v>
      </c>
      <c r="D1600" s="25" t="s">
        <v>1222</v>
      </c>
      <c r="E1600" s="28"/>
    </row>
    <row r="1601" spans="1:5" ht="17" x14ac:dyDescent="0.2">
      <c r="A1601" s="86" t="s">
        <v>1207</v>
      </c>
      <c r="B1601" s="22">
        <v>2241058</v>
      </c>
      <c r="C1601" s="30" t="s">
        <v>84</v>
      </c>
      <c r="D1601" s="25" t="s">
        <v>172</v>
      </c>
      <c r="E1601" s="28"/>
    </row>
    <row r="1602" spans="1:5" ht="17" x14ac:dyDescent="0.2">
      <c r="A1602" s="86" t="s">
        <v>1207</v>
      </c>
      <c r="B1602" s="22">
        <v>2242045</v>
      </c>
      <c r="C1602" s="30" t="s">
        <v>84</v>
      </c>
      <c r="D1602" s="25" t="s">
        <v>905</v>
      </c>
      <c r="E1602" s="28"/>
    </row>
    <row r="1603" spans="1:5" ht="17" x14ac:dyDescent="0.2">
      <c r="A1603" s="86" t="s">
        <v>1207</v>
      </c>
      <c r="B1603" s="22">
        <v>2243049</v>
      </c>
      <c r="C1603" s="30" t="s">
        <v>84</v>
      </c>
      <c r="D1603" s="25" t="s">
        <v>952</v>
      </c>
      <c r="E1603" s="28"/>
    </row>
    <row r="1604" spans="1:5" ht="17" x14ac:dyDescent="0.2">
      <c r="A1604" s="86" t="s">
        <v>1207</v>
      </c>
      <c r="B1604" s="22">
        <v>2819211</v>
      </c>
      <c r="C1604" s="30" t="s">
        <v>84</v>
      </c>
      <c r="D1604" s="25" t="s">
        <v>1223</v>
      </c>
      <c r="E1604" s="28"/>
    </row>
    <row r="1605" spans="1:5" ht="17" x14ac:dyDescent="0.2">
      <c r="A1605" s="86" t="s">
        <v>1207</v>
      </c>
      <c r="B1605" s="22">
        <v>2822163</v>
      </c>
      <c r="C1605" s="30" t="s">
        <v>84</v>
      </c>
      <c r="D1605" s="25" t="s">
        <v>1224</v>
      </c>
      <c r="E1605" s="28"/>
    </row>
    <row r="1606" spans="1:5" ht="17" x14ac:dyDescent="0.2">
      <c r="A1606" s="86" t="s">
        <v>1207</v>
      </c>
      <c r="B1606" s="22">
        <v>2823559</v>
      </c>
      <c r="C1606" s="27" t="s">
        <v>76</v>
      </c>
      <c r="D1606" s="25" t="s">
        <v>682</v>
      </c>
      <c r="E1606" s="28"/>
    </row>
    <row r="1607" spans="1:5" ht="17" x14ac:dyDescent="0.2">
      <c r="A1607" s="86" t="s">
        <v>1207</v>
      </c>
      <c r="B1607" s="22">
        <v>167028</v>
      </c>
      <c r="C1607" s="27" t="s">
        <v>76</v>
      </c>
      <c r="D1607" s="25" t="s">
        <v>179</v>
      </c>
      <c r="E1607" s="28"/>
    </row>
    <row r="1608" spans="1:5" ht="17" x14ac:dyDescent="0.2">
      <c r="A1608" s="26" t="s">
        <v>1207</v>
      </c>
      <c r="B1608" s="22">
        <v>585227</v>
      </c>
      <c r="C1608" s="27" t="s">
        <v>76</v>
      </c>
      <c r="D1608" s="25" t="s">
        <v>187</v>
      </c>
      <c r="E1608" s="28"/>
    </row>
    <row r="1609" spans="1:5" ht="17" x14ac:dyDescent="0.2">
      <c r="A1609" s="26" t="s">
        <v>1207</v>
      </c>
      <c r="B1609" s="22">
        <v>592488</v>
      </c>
      <c r="C1609" s="27" t="s">
        <v>76</v>
      </c>
      <c r="D1609" s="25" t="s">
        <v>1225</v>
      </c>
      <c r="E1609" s="28"/>
    </row>
    <row r="1610" spans="1:5" ht="17" x14ac:dyDescent="0.2">
      <c r="A1610" s="26" t="s">
        <v>1207</v>
      </c>
      <c r="B1610" s="22">
        <v>612175</v>
      </c>
      <c r="C1610" s="27" t="s">
        <v>76</v>
      </c>
      <c r="D1610" s="25" t="s">
        <v>793</v>
      </c>
      <c r="E1610" s="28"/>
    </row>
    <row r="1611" spans="1:5" ht="17" x14ac:dyDescent="0.2">
      <c r="A1611" s="26" t="s">
        <v>1207</v>
      </c>
      <c r="B1611" s="22">
        <v>622051</v>
      </c>
      <c r="C1611" s="27" t="s">
        <v>76</v>
      </c>
      <c r="D1611" s="25" t="s">
        <v>131</v>
      </c>
      <c r="E1611" s="28"/>
    </row>
    <row r="1612" spans="1:5" ht="17" x14ac:dyDescent="0.2">
      <c r="A1612" s="26" t="s">
        <v>1207</v>
      </c>
      <c r="B1612" s="22">
        <v>645011</v>
      </c>
      <c r="C1612" s="27" t="s">
        <v>76</v>
      </c>
      <c r="D1612" s="25" t="s">
        <v>1005</v>
      </c>
      <c r="E1612" s="28"/>
    </row>
    <row r="1613" spans="1:5" ht="17" x14ac:dyDescent="0.2">
      <c r="A1613" s="26" t="s">
        <v>1207</v>
      </c>
      <c r="B1613" s="22">
        <v>672234</v>
      </c>
      <c r="C1613" s="27" t="s">
        <v>76</v>
      </c>
      <c r="D1613" s="25" t="s">
        <v>1006</v>
      </c>
      <c r="E1613" s="28"/>
    </row>
    <row r="1614" spans="1:5" ht="17" x14ac:dyDescent="0.2">
      <c r="A1614" s="26" t="s">
        <v>1207</v>
      </c>
      <c r="B1614" s="22">
        <v>700792</v>
      </c>
      <c r="C1614" s="27" t="s">
        <v>76</v>
      </c>
      <c r="D1614" s="25" t="s">
        <v>239</v>
      </c>
      <c r="E1614" s="28"/>
    </row>
    <row r="1615" spans="1:5" ht="17" x14ac:dyDescent="0.2">
      <c r="A1615" s="26" t="s">
        <v>1207</v>
      </c>
      <c r="B1615" s="22">
        <v>713373</v>
      </c>
      <c r="C1615" s="27" t="s">
        <v>76</v>
      </c>
      <c r="D1615" s="25" t="s">
        <v>964</v>
      </c>
      <c r="E1615" s="28"/>
    </row>
    <row r="1616" spans="1:5" ht="17" x14ac:dyDescent="0.2">
      <c r="A1616" s="26" t="s">
        <v>1207</v>
      </c>
      <c r="B1616" s="22">
        <v>718627</v>
      </c>
      <c r="C1616" s="27" t="s">
        <v>76</v>
      </c>
      <c r="D1616" s="25" t="s">
        <v>181</v>
      </c>
      <c r="E1616" s="28"/>
    </row>
    <row r="1617" spans="1:5" ht="17" x14ac:dyDescent="0.2">
      <c r="A1617" s="26" t="s">
        <v>1207</v>
      </c>
      <c r="B1617" s="22">
        <v>737756</v>
      </c>
      <c r="C1617" s="27" t="s">
        <v>76</v>
      </c>
      <c r="D1617" s="25" t="s">
        <v>180</v>
      </c>
      <c r="E1617" s="28"/>
    </row>
    <row r="1618" spans="1:5" ht="17" x14ac:dyDescent="0.2">
      <c r="A1618" s="26" t="s">
        <v>1207</v>
      </c>
      <c r="B1618" s="22">
        <v>746305</v>
      </c>
      <c r="C1618" s="27" t="s">
        <v>76</v>
      </c>
      <c r="D1618" s="25" t="s">
        <v>324</v>
      </c>
      <c r="E1618" s="28"/>
    </row>
    <row r="1619" spans="1:5" ht="17" x14ac:dyDescent="0.2">
      <c r="A1619" s="26" t="s">
        <v>1207</v>
      </c>
      <c r="B1619" s="22">
        <v>758620</v>
      </c>
      <c r="C1619" s="27" t="s">
        <v>76</v>
      </c>
      <c r="D1619" s="25" t="s">
        <v>1226</v>
      </c>
      <c r="E1619" s="28"/>
    </row>
    <row r="1620" spans="1:5" ht="17" x14ac:dyDescent="0.2">
      <c r="A1620" s="26" t="s">
        <v>1207</v>
      </c>
      <c r="B1620" s="22">
        <v>808667</v>
      </c>
      <c r="C1620" s="27" t="s">
        <v>76</v>
      </c>
      <c r="D1620" s="34" t="s">
        <v>1004</v>
      </c>
      <c r="E1620" s="28"/>
    </row>
    <row r="1621" spans="1:5" ht="17" x14ac:dyDescent="0.2">
      <c r="A1621" s="26" t="s">
        <v>1207</v>
      </c>
      <c r="B1621" s="22">
        <v>2252217</v>
      </c>
      <c r="C1621" s="27" t="s">
        <v>76</v>
      </c>
      <c r="D1621" s="25" t="s">
        <v>1227</v>
      </c>
      <c r="E1621" s="28"/>
    </row>
    <row r="1622" spans="1:5" ht="17" x14ac:dyDescent="0.2">
      <c r="A1622" s="26" t="s">
        <v>1207</v>
      </c>
      <c r="B1622" s="22">
        <v>2802467</v>
      </c>
      <c r="C1622" s="27" t="s">
        <v>76</v>
      </c>
      <c r="D1622" s="25" t="s">
        <v>1228</v>
      </c>
      <c r="E1622" s="28"/>
    </row>
    <row r="1623" spans="1:5" ht="17" x14ac:dyDescent="0.2">
      <c r="A1623" s="26" t="s">
        <v>1207</v>
      </c>
      <c r="B1623" s="22">
        <v>2806197</v>
      </c>
      <c r="C1623" s="27" t="s">
        <v>76</v>
      </c>
      <c r="D1623" s="25" t="s">
        <v>968</v>
      </c>
      <c r="E1623" s="28"/>
    </row>
    <row r="1624" spans="1:5" ht="17" x14ac:dyDescent="0.2">
      <c r="A1624" s="26" t="s">
        <v>1207</v>
      </c>
      <c r="B1624" s="22">
        <v>2839079</v>
      </c>
      <c r="C1624" s="27" t="s">
        <v>76</v>
      </c>
      <c r="D1624" s="25" t="s">
        <v>1229</v>
      </c>
      <c r="E1624" s="28"/>
    </row>
    <row r="1625" spans="1:5" ht="17" x14ac:dyDescent="0.2">
      <c r="A1625" s="26" t="s">
        <v>992</v>
      </c>
      <c r="B1625" s="19" t="s">
        <v>10</v>
      </c>
      <c r="C1625" s="19" t="s">
        <v>11</v>
      </c>
      <c r="D1625" s="21" t="s">
        <v>12</v>
      </c>
      <c r="E1625" s="21" t="s">
        <v>13</v>
      </c>
    </row>
    <row r="1626" spans="1:5" ht="17" x14ac:dyDescent="0.2">
      <c r="A1626" s="26" t="s">
        <v>992</v>
      </c>
      <c r="B1626" s="22">
        <v>574670</v>
      </c>
      <c r="C1626" s="27" t="s">
        <v>14</v>
      </c>
      <c r="D1626" s="25" t="s">
        <v>141</v>
      </c>
      <c r="E1626" s="25" t="s">
        <v>1230</v>
      </c>
    </row>
    <row r="1627" spans="1:5" ht="17" x14ac:dyDescent="0.2">
      <c r="A1627" s="26" t="s">
        <v>992</v>
      </c>
      <c r="B1627" s="22">
        <v>624208</v>
      </c>
      <c r="C1627" s="27" t="s">
        <v>14</v>
      </c>
      <c r="D1627" s="25" t="s">
        <v>1210</v>
      </c>
      <c r="E1627" s="25" t="s">
        <v>984</v>
      </c>
    </row>
    <row r="1628" spans="1:5" ht="17" x14ac:dyDescent="0.2">
      <c r="A1628" s="26" t="s">
        <v>992</v>
      </c>
      <c r="B1628" s="22">
        <v>2812491</v>
      </c>
      <c r="C1628" s="27" t="s">
        <v>14</v>
      </c>
      <c r="D1628" s="34" t="s">
        <v>1231</v>
      </c>
      <c r="E1628" s="25" t="s">
        <v>142</v>
      </c>
    </row>
    <row r="1629" spans="1:5" ht="17" x14ac:dyDescent="0.2">
      <c r="A1629" s="26" t="s">
        <v>992</v>
      </c>
      <c r="B1629" s="22">
        <v>2823247</v>
      </c>
      <c r="C1629" s="27" t="s">
        <v>14</v>
      </c>
      <c r="D1629" s="34" t="s">
        <v>983</v>
      </c>
      <c r="E1629" s="25" t="s">
        <v>146</v>
      </c>
    </row>
    <row r="1630" spans="1:5" ht="17" x14ac:dyDescent="0.2">
      <c r="A1630" s="26" t="s">
        <v>992</v>
      </c>
      <c r="B1630" s="22">
        <v>647657</v>
      </c>
      <c r="C1630" s="27" t="s">
        <v>17</v>
      </c>
      <c r="D1630" s="25" t="s">
        <v>145</v>
      </c>
      <c r="E1630" s="25" t="str">
        <f>HYPERLINK("https://www.linkedin.com/learning/paths/finding-and-retaining-talent","Finding and Retaining Talent")</f>
        <v>Finding and Retaining Talent</v>
      </c>
    </row>
    <row r="1631" spans="1:5" ht="17" x14ac:dyDescent="0.2">
      <c r="A1631" s="26" t="s">
        <v>992</v>
      </c>
      <c r="B1631" s="22">
        <v>693069</v>
      </c>
      <c r="C1631" s="27" t="s">
        <v>17</v>
      </c>
      <c r="D1631" s="25" t="s">
        <v>986</v>
      </c>
      <c r="E1631" s="25" t="str">
        <f>HYPERLINK("https://www.linkedin.com/learning/paths/become-an-inclusive-leader","Become an Inclusive Leader")</f>
        <v>Become an Inclusive Leader</v>
      </c>
    </row>
    <row r="1632" spans="1:5" ht="17" x14ac:dyDescent="0.2">
      <c r="A1632" s="26" t="s">
        <v>992</v>
      </c>
      <c r="B1632" s="22">
        <v>604212</v>
      </c>
      <c r="C1632" s="27" t="s">
        <v>17</v>
      </c>
      <c r="D1632" s="25" t="s">
        <v>1232</v>
      </c>
      <c r="E1632" s="25" t="str">
        <f>HYPERLINK("https://www.linkedin.com/learning/paths/become-an-hr-business-partner","Become an HR Business Partner")</f>
        <v>Become an HR Business Partner</v>
      </c>
    </row>
    <row r="1633" spans="1:5" ht="17" x14ac:dyDescent="0.2">
      <c r="A1633" s="26" t="s">
        <v>992</v>
      </c>
      <c r="B1633" s="22">
        <v>604211</v>
      </c>
      <c r="C1633" s="27" t="s">
        <v>17</v>
      </c>
      <c r="D1633" s="25" t="s">
        <v>987</v>
      </c>
      <c r="E1633" s="25" t="str">
        <f>HYPERLINK("https://www.linkedin.com/learning/paths/become-a-senior-manager","Become a Senior Manager")</f>
        <v>Become a Senior Manager</v>
      </c>
    </row>
    <row r="1634" spans="1:5" ht="17" x14ac:dyDescent="0.2">
      <c r="A1634" s="26" t="s">
        <v>992</v>
      </c>
      <c r="B1634" s="22">
        <v>604213</v>
      </c>
      <c r="C1634" s="27" t="s">
        <v>17</v>
      </c>
      <c r="D1634" s="25" t="s">
        <v>988</v>
      </c>
      <c r="E1634" s="28"/>
    </row>
    <row r="1635" spans="1:5" ht="17" x14ac:dyDescent="0.2">
      <c r="A1635" s="26" t="s">
        <v>992</v>
      </c>
      <c r="B1635" s="22">
        <v>5015864</v>
      </c>
      <c r="C1635" s="27" t="s">
        <v>17</v>
      </c>
      <c r="D1635" s="34" t="s">
        <v>1233</v>
      </c>
    </row>
    <row r="1636" spans="1:5" ht="17" x14ac:dyDescent="0.2">
      <c r="A1636" s="26" t="s">
        <v>992</v>
      </c>
      <c r="B1636" s="22">
        <v>5015865</v>
      </c>
      <c r="C1636" s="27" t="s">
        <v>17</v>
      </c>
      <c r="D1636" s="34" t="s">
        <v>991</v>
      </c>
    </row>
    <row r="1637" spans="1:5" ht="17" x14ac:dyDescent="0.2">
      <c r="A1637" s="26" t="s">
        <v>992</v>
      </c>
      <c r="B1637" s="22">
        <v>456353</v>
      </c>
      <c r="C1637" s="27" t="s">
        <v>17</v>
      </c>
      <c r="D1637" s="48" t="s">
        <v>151</v>
      </c>
      <c r="E1637" s="28"/>
    </row>
    <row r="1638" spans="1:5" ht="17" x14ac:dyDescent="0.2">
      <c r="A1638" s="26" t="s">
        <v>992</v>
      </c>
      <c r="B1638" s="22">
        <v>536419</v>
      </c>
      <c r="C1638" s="27" t="s">
        <v>17</v>
      </c>
      <c r="D1638" s="25" t="s">
        <v>992</v>
      </c>
      <c r="E1638" s="28"/>
    </row>
    <row r="1639" spans="1:5" ht="17" x14ac:dyDescent="0.2">
      <c r="A1639" s="26" t="s">
        <v>992</v>
      </c>
      <c r="B1639" s="22">
        <v>2823138</v>
      </c>
      <c r="C1639" s="27" t="s">
        <v>17</v>
      </c>
      <c r="D1639" s="34" t="s">
        <v>772</v>
      </c>
      <c r="E1639" s="28"/>
    </row>
    <row r="1640" spans="1:5" ht="17" x14ac:dyDescent="0.2">
      <c r="A1640" s="26" t="s">
        <v>992</v>
      </c>
      <c r="B1640" s="22">
        <v>5034159</v>
      </c>
      <c r="C1640" s="27" t="s">
        <v>70</v>
      </c>
      <c r="D1640" s="25" t="s">
        <v>163</v>
      </c>
      <c r="E1640" s="28"/>
    </row>
    <row r="1641" spans="1:5" ht="17" x14ac:dyDescent="0.2">
      <c r="A1641" s="26" t="s">
        <v>992</v>
      </c>
      <c r="B1641" s="22">
        <v>802842</v>
      </c>
      <c r="C1641" s="30" t="s">
        <v>70</v>
      </c>
      <c r="D1641" s="25" t="s">
        <v>165</v>
      </c>
      <c r="E1641" s="28"/>
    </row>
    <row r="1642" spans="1:5" ht="17" x14ac:dyDescent="0.2">
      <c r="A1642" s="26" t="s">
        <v>992</v>
      </c>
      <c r="B1642" s="22">
        <v>661750</v>
      </c>
      <c r="C1642" s="30" t="s">
        <v>70</v>
      </c>
      <c r="D1642" s="25" t="s">
        <v>166</v>
      </c>
      <c r="E1642" s="28"/>
    </row>
    <row r="1643" spans="1:5" ht="17" x14ac:dyDescent="0.2">
      <c r="A1643" s="26" t="s">
        <v>992</v>
      </c>
      <c r="B1643" s="22">
        <v>5028615</v>
      </c>
      <c r="C1643" s="30" t="s">
        <v>70</v>
      </c>
      <c r="D1643" s="25" t="s">
        <v>168</v>
      </c>
      <c r="E1643" s="28"/>
    </row>
    <row r="1644" spans="1:5" ht="17" x14ac:dyDescent="0.2">
      <c r="A1644" s="26" t="s">
        <v>992</v>
      </c>
      <c r="B1644" s="22">
        <v>688508</v>
      </c>
      <c r="C1644" s="30" t="s">
        <v>70</v>
      </c>
      <c r="D1644" s="25" t="s">
        <v>169</v>
      </c>
      <c r="E1644" s="28"/>
    </row>
    <row r="1645" spans="1:5" ht="17" x14ac:dyDescent="0.2">
      <c r="A1645" s="26" t="s">
        <v>992</v>
      </c>
      <c r="B1645" s="22">
        <v>661748</v>
      </c>
      <c r="C1645" s="30" t="s">
        <v>70</v>
      </c>
      <c r="D1645" s="25" t="s">
        <v>170</v>
      </c>
      <c r="E1645" s="28"/>
    </row>
    <row r="1646" spans="1:5" ht="17" x14ac:dyDescent="0.2">
      <c r="A1646" s="26" t="s">
        <v>992</v>
      </c>
      <c r="B1646" s="22">
        <v>2243041</v>
      </c>
      <c r="C1646" s="59" t="s">
        <v>84</v>
      </c>
      <c r="D1646" s="34" t="s">
        <v>1234</v>
      </c>
      <c r="E1646" s="28"/>
    </row>
    <row r="1647" spans="1:5" ht="17" x14ac:dyDescent="0.2">
      <c r="A1647" s="26" t="s">
        <v>992</v>
      </c>
      <c r="B1647" s="22">
        <v>2367363</v>
      </c>
      <c r="C1647" s="59" t="s">
        <v>84</v>
      </c>
      <c r="D1647" s="34" t="s">
        <v>1235</v>
      </c>
      <c r="E1647" s="28"/>
    </row>
    <row r="1648" spans="1:5" ht="17" x14ac:dyDescent="0.2">
      <c r="A1648" s="26" t="s">
        <v>992</v>
      </c>
      <c r="B1648" s="22">
        <v>2833052</v>
      </c>
      <c r="C1648" s="59" t="s">
        <v>76</v>
      </c>
      <c r="D1648" s="34" t="s">
        <v>1236</v>
      </c>
      <c r="E1648" s="28"/>
    </row>
    <row r="1649" spans="1:5" ht="17" x14ac:dyDescent="0.2">
      <c r="A1649" s="26" t="s">
        <v>992</v>
      </c>
      <c r="B1649" s="22">
        <v>808667</v>
      </c>
      <c r="C1649" s="27" t="s">
        <v>76</v>
      </c>
      <c r="D1649" s="34" t="s">
        <v>1004</v>
      </c>
      <c r="E1649" s="28"/>
    </row>
    <row r="1650" spans="1:5" ht="17" x14ac:dyDescent="0.2">
      <c r="A1650" s="26" t="s">
        <v>992</v>
      </c>
      <c r="B1650" s="22">
        <v>645011</v>
      </c>
      <c r="C1650" s="27" t="s">
        <v>76</v>
      </c>
      <c r="D1650" s="25" t="s">
        <v>1005</v>
      </c>
      <c r="E1650" s="28"/>
    </row>
    <row r="1651" spans="1:5" ht="17" x14ac:dyDescent="0.2">
      <c r="A1651" s="26" t="s">
        <v>992</v>
      </c>
      <c r="B1651" s="22">
        <v>592488</v>
      </c>
      <c r="C1651" s="27" t="s">
        <v>76</v>
      </c>
      <c r="D1651" s="25" t="s">
        <v>1225</v>
      </c>
      <c r="E1651" s="28"/>
    </row>
    <row r="1652" spans="1:5" ht="17" x14ac:dyDescent="0.2">
      <c r="A1652" s="26" t="s">
        <v>992</v>
      </c>
      <c r="B1652" s="29">
        <v>769279</v>
      </c>
      <c r="C1652" s="27" t="s">
        <v>76</v>
      </c>
      <c r="D1652" s="25" t="s">
        <v>794</v>
      </c>
      <c r="E1652" s="28"/>
    </row>
    <row r="1653" spans="1:5" ht="17" x14ac:dyDescent="0.2">
      <c r="A1653" s="26" t="s">
        <v>992</v>
      </c>
      <c r="B1653" s="22">
        <v>700792</v>
      </c>
      <c r="C1653" s="27" t="s">
        <v>76</v>
      </c>
      <c r="D1653" s="25" t="s">
        <v>239</v>
      </c>
      <c r="E1653" s="28"/>
    </row>
    <row r="1654" spans="1:5" ht="17" x14ac:dyDescent="0.2">
      <c r="A1654" s="26" t="s">
        <v>992</v>
      </c>
      <c r="B1654" s="22">
        <v>746305</v>
      </c>
      <c r="C1654" s="23" t="s">
        <v>76</v>
      </c>
      <c r="D1654" s="25" t="s">
        <v>324</v>
      </c>
      <c r="E1654" s="28"/>
    </row>
    <row r="1655" spans="1:5" ht="17" x14ac:dyDescent="0.2">
      <c r="A1655" s="26" t="s">
        <v>992</v>
      </c>
      <c r="B1655" s="22">
        <v>585227</v>
      </c>
      <c r="C1655" s="27" t="s">
        <v>76</v>
      </c>
      <c r="D1655" s="25" t="s">
        <v>187</v>
      </c>
      <c r="E1655" s="28"/>
    </row>
    <row r="1656" spans="1:5" ht="17" x14ac:dyDescent="0.2">
      <c r="A1656" s="26" t="s">
        <v>992</v>
      </c>
      <c r="B1656" s="22">
        <v>2228265</v>
      </c>
      <c r="C1656" s="27" t="s">
        <v>76</v>
      </c>
      <c r="D1656" s="34" t="s">
        <v>810</v>
      </c>
      <c r="E1656" s="28"/>
    </row>
    <row r="1657" spans="1:5" ht="17" x14ac:dyDescent="0.2">
      <c r="A1657" s="26" t="s">
        <v>992</v>
      </c>
      <c r="B1657" s="22">
        <v>2825499</v>
      </c>
      <c r="C1657" s="27" t="s">
        <v>76</v>
      </c>
      <c r="D1657" s="34" t="s">
        <v>979</v>
      </c>
      <c r="E1657" s="28"/>
    </row>
    <row r="1658" spans="1:5" ht="17" x14ac:dyDescent="0.2">
      <c r="A1658" s="26" t="s">
        <v>992</v>
      </c>
      <c r="B1658" s="22">
        <v>2823546</v>
      </c>
      <c r="C1658" s="27" t="s">
        <v>76</v>
      </c>
      <c r="D1658" s="48" t="s">
        <v>815</v>
      </c>
      <c r="E1658" s="28"/>
    </row>
    <row r="1659" spans="1:5" ht="17" x14ac:dyDescent="0.2">
      <c r="A1659" s="26" t="s">
        <v>992</v>
      </c>
      <c r="B1659" s="22">
        <v>564547</v>
      </c>
      <c r="C1659" s="30" t="s">
        <v>76</v>
      </c>
      <c r="D1659" s="34" t="s">
        <v>1237</v>
      </c>
      <c r="E1659" s="28"/>
    </row>
    <row r="1660" spans="1:5" ht="17" x14ac:dyDescent="0.2">
      <c r="A1660" s="26" t="s">
        <v>1238</v>
      </c>
      <c r="B1660" s="19" t="s">
        <v>10</v>
      </c>
      <c r="C1660" s="19" t="s">
        <v>11</v>
      </c>
      <c r="D1660" s="21" t="s">
        <v>12</v>
      </c>
      <c r="E1660" s="21" t="s">
        <v>13</v>
      </c>
    </row>
    <row r="1661" spans="1:5" ht="17" x14ac:dyDescent="0.2">
      <c r="A1661" s="26" t="s">
        <v>1238</v>
      </c>
      <c r="B1661" s="22">
        <v>373562</v>
      </c>
      <c r="C1661" s="27" t="s">
        <v>14</v>
      </c>
      <c r="D1661" s="25" t="s">
        <v>1176</v>
      </c>
      <c r="E1661" s="25" t="s">
        <v>199</v>
      </c>
    </row>
    <row r="1662" spans="1:5" ht="17" x14ac:dyDescent="0.2">
      <c r="A1662" s="26" t="s">
        <v>1238</v>
      </c>
      <c r="B1662" s="22">
        <v>645013</v>
      </c>
      <c r="C1662" s="27" t="s">
        <v>14</v>
      </c>
      <c r="D1662" s="25" t="s">
        <v>240</v>
      </c>
      <c r="E1662" s="25" t="str">
        <f>HYPERLINK("https://www.linkedin.com/learning/paths/diversity-inclusion-and-belonging-for-leaders-and-managers","Diversity, Inclusion and Belonging for Leaders and Managers")</f>
        <v>Diversity, Inclusion and Belonging for Leaders and Managers</v>
      </c>
    </row>
    <row r="1663" spans="1:5" ht="17" x14ac:dyDescent="0.2">
      <c r="A1663" s="26" t="s">
        <v>1238</v>
      </c>
      <c r="B1663" s="22">
        <v>706917</v>
      </c>
      <c r="C1663" s="27" t="s">
        <v>14</v>
      </c>
      <c r="D1663" s="25" t="s">
        <v>1239</v>
      </c>
      <c r="E1663" s="25" t="str">
        <f>HYPERLINK("https://www.linkedin.com/learning/paths/diversity-inclusion-and-belonging-for-all","Diversity, Inclusion and Belonging for All")</f>
        <v>Diversity, Inclusion and Belonging for All</v>
      </c>
    </row>
    <row r="1664" spans="1:5" ht="17" x14ac:dyDescent="0.2">
      <c r="A1664" s="26" t="s">
        <v>1238</v>
      </c>
      <c r="B1664" s="22">
        <v>5022325</v>
      </c>
      <c r="C1664" s="27" t="s">
        <v>14</v>
      </c>
      <c r="D1664" s="25" t="s">
        <v>1240</v>
      </c>
      <c r="E1664" s="25" t="str">
        <f>HYPERLINK("https://www.linkedin.com/learning/paths/women-transforming-tech-navigating-your-career","Women Transforming Tech: Navigating Your Career")</f>
        <v>Women Transforming Tech: Navigating Your Career</v>
      </c>
    </row>
    <row r="1665" spans="1:5" ht="17" x14ac:dyDescent="0.2">
      <c r="A1665" s="26" t="s">
        <v>1238</v>
      </c>
      <c r="B1665" s="22">
        <v>2837225</v>
      </c>
      <c r="C1665" s="27" t="s">
        <v>17</v>
      </c>
      <c r="D1665" s="25" t="s">
        <v>1241</v>
      </c>
      <c r="E1665" s="25" t="str">
        <f>HYPERLINK("https://www.linkedin.com/learning/paths/become-a-thought-leader","Become a Thought Leader")</f>
        <v>Become a Thought Leader</v>
      </c>
    </row>
    <row r="1666" spans="1:5" ht="17" x14ac:dyDescent="0.2">
      <c r="A1666" s="26" t="s">
        <v>1238</v>
      </c>
      <c r="B1666" s="22">
        <v>2996651</v>
      </c>
      <c r="C1666" s="27" t="s">
        <v>17</v>
      </c>
      <c r="D1666" s="25" t="s">
        <v>1242</v>
      </c>
      <c r="E1666" s="25" t="s">
        <v>1243</v>
      </c>
    </row>
    <row r="1667" spans="1:5" ht="17" x14ac:dyDescent="0.2">
      <c r="A1667" s="26" t="s">
        <v>1238</v>
      </c>
      <c r="B1667" s="29">
        <v>791356</v>
      </c>
      <c r="C1667" s="27" t="s">
        <v>17</v>
      </c>
      <c r="D1667" s="52" t="str">
        <f>HYPERLINK("https://www.linkedin.com/learning/inclusive-instructional-design/design-inclusive-learning-experiences?","Inclusive Instructional Design")</f>
        <v>Inclusive Instructional Design</v>
      </c>
      <c r="E1667" s="25" t="s">
        <v>1244</v>
      </c>
    </row>
    <row r="1668" spans="1:5" ht="17" x14ac:dyDescent="0.2">
      <c r="A1668" s="26" t="s">
        <v>1238</v>
      </c>
      <c r="B1668" s="22">
        <v>746261</v>
      </c>
      <c r="C1668" s="27" t="s">
        <v>17</v>
      </c>
      <c r="D1668" s="25" t="s">
        <v>1245</v>
      </c>
      <c r="E1668" s="25" t="str">
        <f>HYPERLINK("https://www.linkedin.com/learning/paths/women-in-leadership-3","Women in Leadership")</f>
        <v>Women in Leadership</v>
      </c>
    </row>
    <row r="1669" spans="1:5" ht="17" x14ac:dyDescent="0.2">
      <c r="A1669" s="26" t="s">
        <v>1238</v>
      </c>
      <c r="B1669" s="22">
        <v>704110</v>
      </c>
      <c r="C1669" s="27" t="s">
        <v>17</v>
      </c>
      <c r="D1669" s="25" t="s">
        <v>1246</v>
      </c>
      <c r="E1669" s="25" t="str">
        <f>HYPERLINK("https://www.linkedin.com/learning/paths/stay-ahead-in-all-things-dibs","Stay Ahead in All Things DIBs")</f>
        <v>Stay Ahead in All Things DIBs</v>
      </c>
    </row>
    <row r="1670" spans="1:5" ht="17" x14ac:dyDescent="0.2">
      <c r="A1670" s="26" t="s">
        <v>1238</v>
      </c>
      <c r="B1670" s="22">
        <v>642484</v>
      </c>
      <c r="C1670" s="27" t="s">
        <v>17</v>
      </c>
      <c r="D1670" s="34" t="s">
        <v>1247</v>
      </c>
      <c r="E1670" s="25" t="str">
        <f>HYPERLINK("https://www.linkedin.com/learning/paths/improve-your-coaching-skills-as-a-manager","Improve Your Coaching Skills as a Manager")</f>
        <v>Improve Your Coaching Skills as a Manager</v>
      </c>
    </row>
    <row r="1671" spans="1:5" ht="17" x14ac:dyDescent="0.2">
      <c r="A1671" s="26" t="s">
        <v>1238</v>
      </c>
      <c r="B1671" s="22">
        <v>373788</v>
      </c>
      <c r="C1671" s="27" t="s">
        <v>17</v>
      </c>
      <c r="D1671" s="25" t="s">
        <v>1248</v>
      </c>
      <c r="E1671" s="25"/>
    </row>
    <row r="1672" spans="1:5" ht="17" x14ac:dyDescent="0.2">
      <c r="A1672" s="26" t="s">
        <v>1238</v>
      </c>
      <c r="B1672" s="22">
        <v>664811</v>
      </c>
      <c r="C1672" s="27" t="s">
        <v>17</v>
      </c>
      <c r="D1672" s="25" t="s">
        <v>1249</v>
      </c>
      <c r="E1672" s="25"/>
    </row>
    <row r="1673" spans="1:5" ht="17" x14ac:dyDescent="0.2">
      <c r="A1673" s="26" t="s">
        <v>1238</v>
      </c>
      <c r="B1673" s="29">
        <v>2819028</v>
      </c>
      <c r="C1673" s="27" t="s">
        <v>17</v>
      </c>
      <c r="D1673" s="52" t="str">
        <f>HYPERLINK("https://www.linkedin.com/learning/diversity-inclusion-and-belonging-2/dibs-an-introduction","Diversity, Inclusion, and Belonging")</f>
        <v>Diversity, Inclusion, and Belonging</v>
      </c>
      <c r="E1673" s="25"/>
    </row>
    <row r="1674" spans="1:5" ht="17" x14ac:dyDescent="0.2">
      <c r="A1674" s="26" t="s">
        <v>1238</v>
      </c>
      <c r="B1674" s="22">
        <v>2802469</v>
      </c>
      <c r="C1674" s="27" t="s">
        <v>17</v>
      </c>
      <c r="D1674" s="34" t="s">
        <v>1250</v>
      </c>
      <c r="E1674" s="25"/>
    </row>
    <row r="1675" spans="1:5" ht="17" x14ac:dyDescent="0.2">
      <c r="A1675" s="26" t="s">
        <v>1238</v>
      </c>
      <c r="B1675" s="22">
        <v>794118</v>
      </c>
      <c r="C1675" s="27" t="s">
        <v>17</v>
      </c>
      <c r="D1675" s="25" t="s">
        <v>767</v>
      </c>
      <c r="E1675" s="25"/>
    </row>
    <row r="1676" spans="1:5" ht="17" x14ac:dyDescent="0.2">
      <c r="A1676" s="26" t="s">
        <v>1238</v>
      </c>
      <c r="B1676" s="22">
        <v>2807859</v>
      </c>
      <c r="C1676" s="27" t="s">
        <v>17</v>
      </c>
      <c r="D1676" s="25" t="s">
        <v>261</v>
      </c>
      <c r="E1676" s="25"/>
    </row>
    <row r="1677" spans="1:5" ht="17" x14ac:dyDescent="0.2">
      <c r="A1677" s="26" t="s">
        <v>1238</v>
      </c>
      <c r="B1677" s="22">
        <v>2810166</v>
      </c>
      <c r="C1677" s="27" t="s">
        <v>17</v>
      </c>
      <c r="D1677" s="25" t="s">
        <v>897</v>
      </c>
      <c r="E1677" s="61"/>
    </row>
    <row r="1678" spans="1:5" ht="17" x14ac:dyDescent="0.2">
      <c r="A1678" s="26" t="s">
        <v>1238</v>
      </c>
      <c r="B1678" s="22">
        <v>765323</v>
      </c>
      <c r="C1678" s="27" t="s">
        <v>17</v>
      </c>
      <c r="D1678" s="25" t="s">
        <v>1251</v>
      </c>
      <c r="E1678" s="60"/>
    </row>
    <row r="1679" spans="1:5" ht="17" x14ac:dyDescent="0.2">
      <c r="A1679" s="26" t="s">
        <v>1238</v>
      </c>
      <c r="B1679" s="29">
        <v>797726</v>
      </c>
      <c r="C1679" s="82" t="s">
        <v>17</v>
      </c>
      <c r="D1679" s="52" t="s">
        <v>1252</v>
      </c>
      <c r="E1679" s="28"/>
    </row>
    <row r="1680" spans="1:5" ht="17" x14ac:dyDescent="0.2">
      <c r="A1680" s="26" t="s">
        <v>1238</v>
      </c>
      <c r="B1680" s="29">
        <v>2812492</v>
      </c>
      <c r="C1680" s="82" t="s">
        <v>17</v>
      </c>
      <c r="D1680" s="52" t="s">
        <v>1253</v>
      </c>
      <c r="E1680" s="28"/>
    </row>
    <row r="1681" spans="1:5" ht="17" x14ac:dyDescent="0.2">
      <c r="A1681" s="26" t="s">
        <v>1238</v>
      </c>
      <c r="B1681" s="29">
        <v>625918</v>
      </c>
      <c r="C1681" s="82" t="s">
        <v>17</v>
      </c>
      <c r="D1681" s="52" t="s">
        <v>1254</v>
      </c>
      <c r="E1681" s="28"/>
    </row>
    <row r="1682" spans="1:5" ht="17" x14ac:dyDescent="0.2">
      <c r="A1682" s="26" t="s">
        <v>1238</v>
      </c>
      <c r="B1682" s="29">
        <v>2811024</v>
      </c>
      <c r="C1682" s="82" t="s">
        <v>17</v>
      </c>
      <c r="D1682" s="52" t="s">
        <v>1255</v>
      </c>
      <c r="E1682" s="28"/>
    </row>
    <row r="1683" spans="1:5" ht="17" x14ac:dyDescent="0.2">
      <c r="A1683" s="26" t="s">
        <v>1238</v>
      </c>
      <c r="B1683" s="29">
        <v>2805907</v>
      </c>
      <c r="C1683" s="82" t="s">
        <v>17</v>
      </c>
      <c r="D1683" s="52" t="s">
        <v>259</v>
      </c>
      <c r="E1683" s="28"/>
    </row>
    <row r="1684" spans="1:5" ht="17" x14ac:dyDescent="0.2">
      <c r="A1684" s="26" t="s">
        <v>1238</v>
      </c>
      <c r="B1684" s="29">
        <v>2807858</v>
      </c>
      <c r="C1684" s="82" t="s">
        <v>17</v>
      </c>
      <c r="D1684" s="52" t="s">
        <v>260</v>
      </c>
      <c r="E1684" s="28"/>
    </row>
    <row r="1685" spans="1:5" ht="17" x14ac:dyDescent="0.2">
      <c r="A1685" s="26" t="s">
        <v>1238</v>
      </c>
      <c r="B1685" s="29">
        <v>2808545</v>
      </c>
      <c r="C1685" s="82" t="s">
        <v>17</v>
      </c>
      <c r="D1685" s="52" t="s">
        <v>213</v>
      </c>
      <c r="E1685" s="28"/>
    </row>
    <row r="1686" spans="1:5" ht="17" x14ac:dyDescent="0.2">
      <c r="A1686" s="26" t="s">
        <v>1238</v>
      </c>
      <c r="B1686" s="22">
        <v>2825335</v>
      </c>
      <c r="C1686" s="27" t="s">
        <v>17</v>
      </c>
      <c r="D1686" s="25" t="s">
        <v>1256</v>
      </c>
      <c r="E1686" s="28"/>
    </row>
    <row r="1687" spans="1:5" ht="17" x14ac:dyDescent="0.2">
      <c r="A1687" s="26" t="s">
        <v>1238</v>
      </c>
      <c r="B1687" s="22">
        <v>2813256</v>
      </c>
      <c r="C1687" s="27" t="s">
        <v>17</v>
      </c>
      <c r="D1687" s="25" t="s">
        <v>768</v>
      </c>
      <c r="E1687" s="28"/>
    </row>
    <row r="1688" spans="1:5" ht="17" x14ac:dyDescent="0.2">
      <c r="A1688" s="26" t="s">
        <v>1238</v>
      </c>
      <c r="B1688" s="22">
        <v>2841554</v>
      </c>
      <c r="C1688" s="27" t="s">
        <v>17</v>
      </c>
      <c r="D1688" s="25" t="s">
        <v>774</v>
      </c>
      <c r="E1688" s="28"/>
    </row>
    <row r="1689" spans="1:5" ht="17" x14ac:dyDescent="0.2">
      <c r="A1689" s="26" t="s">
        <v>1238</v>
      </c>
      <c r="B1689" s="22">
        <v>2818142</v>
      </c>
      <c r="C1689" s="27" t="s">
        <v>17</v>
      </c>
      <c r="D1689" s="25" t="s">
        <v>1257</v>
      </c>
      <c r="E1689" s="28"/>
    </row>
    <row r="1690" spans="1:5" ht="17" x14ac:dyDescent="0.2">
      <c r="A1690" s="26" t="s">
        <v>1238</v>
      </c>
      <c r="B1690" s="22">
        <v>2848272</v>
      </c>
      <c r="C1690" s="27" t="s">
        <v>17</v>
      </c>
      <c r="D1690" s="25" t="s">
        <v>216</v>
      </c>
      <c r="E1690" s="28"/>
    </row>
    <row r="1691" spans="1:5" ht="17" x14ac:dyDescent="0.2">
      <c r="A1691" s="26" t="s">
        <v>1238</v>
      </c>
      <c r="B1691" s="22">
        <v>2825698</v>
      </c>
      <c r="C1691" s="27" t="s">
        <v>17</v>
      </c>
      <c r="D1691" s="25" t="s">
        <v>945</v>
      </c>
      <c r="E1691" s="28"/>
    </row>
    <row r="1692" spans="1:5" ht="17" x14ac:dyDescent="0.2">
      <c r="A1692" s="26" t="s">
        <v>1238</v>
      </c>
      <c r="B1692" s="22">
        <v>2853001</v>
      </c>
      <c r="C1692" s="51" t="s">
        <v>17</v>
      </c>
      <c r="D1692" s="52" t="s">
        <v>674</v>
      </c>
      <c r="E1692" s="28"/>
    </row>
    <row r="1693" spans="1:5" ht="17" x14ac:dyDescent="0.2">
      <c r="A1693" s="26" t="s">
        <v>1238</v>
      </c>
      <c r="B1693" s="22">
        <v>2865036</v>
      </c>
      <c r="C1693" s="51" t="s">
        <v>17</v>
      </c>
      <c r="D1693" s="52" t="s">
        <v>271</v>
      </c>
      <c r="E1693" s="28"/>
    </row>
    <row r="1694" spans="1:5" ht="17" x14ac:dyDescent="0.2">
      <c r="A1694" s="26" t="s">
        <v>1238</v>
      </c>
      <c r="B1694" s="22">
        <v>2877077</v>
      </c>
      <c r="C1694" s="51" t="s">
        <v>17</v>
      </c>
      <c r="D1694" s="52" t="s">
        <v>273</v>
      </c>
      <c r="E1694" s="28"/>
    </row>
    <row r="1695" spans="1:5" ht="17" x14ac:dyDescent="0.2">
      <c r="A1695" s="26" t="s">
        <v>1238</v>
      </c>
      <c r="B1695" s="22">
        <v>2877078</v>
      </c>
      <c r="C1695" s="51" t="s">
        <v>17</v>
      </c>
      <c r="D1695" s="52" t="s">
        <v>272</v>
      </c>
      <c r="E1695" s="28"/>
    </row>
    <row r="1696" spans="1:5" ht="17" x14ac:dyDescent="0.2">
      <c r="A1696" s="26" t="s">
        <v>1238</v>
      </c>
      <c r="B1696" s="22">
        <v>696328</v>
      </c>
      <c r="C1696" s="27" t="s">
        <v>70</v>
      </c>
      <c r="D1696" s="25" t="s">
        <v>989</v>
      </c>
      <c r="E1696" s="28"/>
    </row>
    <row r="1697" spans="1:5" ht="17" x14ac:dyDescent="0.2">
      <c r="A1697" s="26" t="s">
        <v>1238</v>
      </c>
      <c r="B1697" s="22">
        <v>758621</v>
      </c>
      <c r="C1697" s="30" t="s">
        <v>70</v>
      </c>
      <c r="D1697" s="25" t="s">
        <v>1258</v>
      </c>
      <c r="E1697" s="28"/>
    </row>
    <row r="1698" spans="1:5" ht="17" x14ac:dyDescent="0.2">
      <c r="A1698" s="26" t="s">
        <v>1238</v>
      </c>
      <c r="B1698" s="22">
        <v>2824254</v>
      </c>
      <c r="C1698" s="30" t="s">
        <v>70</v>
      </c>
      <c r="D1698" s="25" t="s">
        <v>1222</v>
      </c>
      <c r="E1698" s="28"/>
    </row>
    <row r="1699" spans="1:5" ht="17" x14ac:dyDescent="0.2">
      <c r="A1699" s="26" t="s">
        <v>1238</v>
      </c>
      <c r="B1699" s="22">
        <v>2835068</v>
      </c>
      <c r="C1699" s="51" t="s">
        <v>70</v>
      </c>
      <c r="D1699" s="52" t="s">
        <v>117</v>
      </c>
      <c r="E1699" s="28"/>
    </row>
    <row r="1700" spans="1:5" ht="17" x14ac:dyDescent="0.2">
      <c r="A1700" s="26" t="s">
        <v>1238</v>
      </c>
      <c r="B1700" s="22">
        <v>5002835</v>
      </c>
      <c r="C1700" s="51" t="s">
        <v>84</v>
      </c>
      <c r="D1700" s="25" t="s">
        <v>1259</v>
      </c>
      <c r="E1700" s="28"/>
    </row>
    <row r="1701" spans="1:5" ht="17" x14ac:dyDescent="0.2">
      <c r="A1701" s="26" t="s">
        <v>1238</v>
      </c>
      <c r="B1701" s="22">
        <v>2819137</v>
      </c>
      <c r="C1701" s="51" t="s">
        <v>84</v>
      </c>
      <c r="D1701" s="52" t="str">
        <f>HYPERLINK("https://www.linkedin.com/learning/developing-a-diversity-inclusion-and-belonging-program/why-dibs-diversity-inclusion-and-belonging-is-important","Developing a Diversity, Inclusion, and Belonging Program")</f>
        <v>Developing a Diversity, Inclusion, and Belonging Program</v>
      </c>
      <c r="E1701" s="28"/>
    </row>
    <row r="1702" spans="1:5" ht="17" x14ac:dyDescent="0.2">
      <c r="A1702" s="26" t="s">
        <v>1238</v>
      </c>
      <c r="B1702" s="22">
        <v>543904</v>
      </c>
      <c r="C1702" s="51" t="s">
        <v>84</v>
      </c>
      <c r="D1702" s="52" t="str">
        <f>HYPERLINK("https://www.linkedin.com/learning/john-maeda-on-design-business-and-inclusion","John Maeda on Design, Business, and Inclusion")</f>
        <v>John Maeda on Design, Business, and Inclusion</v>
      </c>
      <c r="E1702" s="28"/>
    </row>
    <row r="1703" spans="1:5" ht="17" x14ac:dyDescent="0.2">
      <c r="A1703" s="26" t="s">
        <v>1238</v>
      </c>
      <c r="B1703" s="22">
        <v>758616</v>
      </c>
      <c r="C1703" s="51" t="s">
        <v>84</v>
      </c>
      <c r="D1703" s="25" t="s">
        <v>152</v>
      </c>
      <c r="E1703" s="28"/>
    </row>
    <row r="1704" spans="1:5" ht="17" x14ac:dyDescent="0.2">
      <c r="A1704" s="26" t="s">
        <v>1238</v>
      </c>
      <c r="B1704" s="22">
        <v>2825696</v>
      </c>
      <c r="C1704" s="51" t="s">
        <v>84</v>
      </c>
      <c r="D1704" s="52" t="s">
        <v>289</v>
      </c>
      <c r="E1704" s="28"/>
    </row>
    <row r="1705" spans="1:5" ht="17" x14ac:dyDescent="0.2">
      <c r="A1705" s="26" t="s">
        <v>1238</v>
      </c>
      <c r="B1705" s="22">
        <v>5028612</v>
      </c>
      <c r="C1705" s="51" t="s">
        <v>84</v>
      </c>
      <c r="D1705" s="25" t="s">
        <v>783</v>
      </c>
      <c r="E1705" s="28"/>
    </row>
    <row r="1706" spans="1:5" ht="17" x14ac:dyDescent="0.2">
      <c r="A1706" s="26" t="s">
        <v>1238</v>
      </c>
      <c r="B1706" s="22">
        <v>779733</v>
      </c>
      <c r="C1706" s="51" t="s">
        <v>84</v>
      </c>
      <c r="D1706" s="25" t="s">
        <v>1260</v>
      </c>
      <c r="E1706" s="28"/>
    </row>
    <row r="1707" spans="1:5" ht="17" x14ac:dyDescent="0.2">
      <c r="A1707" s="26" t="s">
        <v>1238</v>
      </c>
      <c r="B1707" s="22">
        <v>5040392</v>
      </c>
      <c r="C1707" s="51" t="s">
        <v>84</v>
      </c>
      <c r="D1707" s="25" t="s">
        <v>1261</v>
      </c>
      <c r="E1707" s="28"/>
    </row>
    <row r="1708" spans="1:5" ht="17" x14ac:dyDescent="0.2">
      <c r="A1708" s="26" t="s">
        <v>1238</v>
      </c>
      <c r="B1708" s="22">
        <v>716048</v>
      </c>
      <c r="C1708" s="51" t="s">
        <v>84</v>
      </c>
      <c r="D1708" s="25" t="s">
        <v>784</v>
      </c>
      <c r="E1708" s="28"/>
    </row>
    <row r="1709" spans="1:5" ht="17" x14ac:dyDescent="0.2">
      <c r="A1709" s="26" t="s">
        <v>1238</v>
      </c>
      <c r="B1709" s="22">
        <v>5025098</v>
      </c>
      <c r="C1709" s="51" t="s">
        <v>84</v>
      </c>
      <c r="D1709" s="25" t="s">
        <v>230</v>
      </c>
      <c r="E1709" s="28"/>
    </row>
    <row r="1710" spans="1:5" ht="17" x14ac:dyDescent="0.2">
      <c r="A1710" s="26" t="s">
        <v>1238</v>
      </c>
      <c r="B1710" s="22">
        <v>2800408</v>
      </c>
      <c r="C1710" s="51" t="s">
        <v>84</v>
      </c>
      <c r="D1710" s="25" t="s">
        <v>958</v>
      </c>
      <c r="E1710" s="28"/>
    </row>
    <row r="1711" spans="1:5" ht="17" x14ac:dyDescent="0.2">
      <c r="A1711" s="26" t="s">
        <v>1238</v>
      </c>
      <c r="B1711" s="22">
        <v>2848250</v>
      </c>
      <c r="C1711" s="51" t="s">
        <v>84</v>
      </c>
      <c r="D1711" s="48" t="s">
        <v>175</v>
      </c>
      <c r="E1711" s="28"/>
    </row>
    <row r="1712" spans="1:5" ht="17" x14ac:dyDescent="0.2">
      <c r="A1712" s="26" t="s">
        <v>1238</v>
      </c>
      <c r="B1712" s="22">
        <v>2839076</v>
      </c>
      <c r="C1712" s="51" t="s">
        <v>84</v>
      </c>
      <c r="D1712" s="25" t="s">
        <v>1262</v>
      </c>
      <c r="E1712" s="28"/>
    </row>
    <row r="1713" spans="1:5" ht="17" x14ac:dyDescent="0.2">
      <c r="A1713" s="26" t="s">
        <v>1238</v>
      </c>
      <c r="B1713" s="22">
        <v>2864030</v>
      </c>
      <c r="C1713" s="51" t="s">
        <v>84</v>
      </c>
      <c r="D1713" s="25" t="s">
        <v>910</v>
      </c>
      <c r="E1713" s="28"/>
    </row>
    <row r="1714" spans="1:5" ht="17" x14ac:dyDescent="0.2">
      <c r="A1714" s="26" t="s">
        <v>1238</v>
      </c>
      <c r="B1714" s="22">
        <v>2848321</v>
      </c>
      <c r="C1714" s="27" t="s">
        <v>84</v>
      </c>
      <c r="D1714" s="25" t="s">
        <v>288</v>
      </c>
      <c r="E1714" s="28"/>
    </row>
    <row r="1715" spans="1:5" ht="17" x14ac:dyDescent="0.2">
      <c r="A1715" s="26" t="s">
        <v>1238</v>
      </c>
      <c r="B1715" s="22">
        <v>2825601</v>
      </c>
      <c r="C1715" s="51" t="s">
        <v>76</v>
      </c>
      <c r="D1715" s="52" t="s">
        <v>236</v>
      </c>
      <c r="E1715" s="28"/>
    </row>
    <row r="1716" spans="1:5" ht="17" x14ac:dyDescent="0.2">
      <c r="A1716" s="26" t="s">
        <v>1238</v>
      </c>
      <c r="B1716" s="22">
        <v>2824379</v>
      </c>
      <c r="C1716" s="51" t="s">
        <v>76</v>
      </c>
      <c r="D1716" s="52" t="s">
        <v>961</v>
      </c>
      <c r="E1716" s="28"/>
    </row>
    <row r="1717" spans="1:5" ht="17" x14ac:dyDescent="0.2">
      <c r="A1717" s="26" t="s">
        <v>1238</v>
      </c>
      <c r="B1717" s="22">
        <v>664802</v>
      </c>
      <c r="C1717" s="82" t="s">
        <v>76</v>
      </c>
      <c r="D1717" s="25" t="s">
        <v>1263</v>
      </c>
      <c r="E1717" s="28"/>
    </row>
    <row r="1718" spans="1:5" ht="17" x14ac:dyDescent="0.2">
      <c r="A1718" s="26" t="s">
        <v>1238</v>
      </c>
      <c r="B1718" s="22">
        <v>784280</v>
      </c>
      <c r="C1718" s="82" t="s">
        <v>76</v>
      </c>
      <c r="D1718" s="25" t="s">
        <v>150</v>
      </c>
      <c r="E1718" s="28"/>
    </row>
    <row r="1719" spans="1:5" ht="17" x14ac:dyDescent="0.2">
      <c r="A1719" s="26" t="s">
        <v>1238</v>
      </c>
      <c r="B1719" s="22">
        <v>625917</v>
      </c>
      <c r="C1719" s="82" t="s">
        <v>76</v>
      </c>
      <c r="D1719" s="25" t="s">
        <v>1264</v>
      </c>
      <c r="E1719" s="28"/>
    </row>
    <row r="1720" spans="1:5" ht="17" x14ac:dyDescent="0.2">
      <c r="A1720" s="26" t="s">
        <v>1238</v>
      </c>
      <c r="B1720" s="22">
        <v>515183</v>
      </c>
      <c r="C1720" s="82" t="s">
        <v>76</v>
      </c>
      <c r="D1720" s="25" t="s">
        <v>1265</v>
      </c>
      <c r="E1720" s="28"/>
    </row>
    <row r="1721" spans="1:5" ht="17" x14ac:dyDescent="0.2">
      <c r="A1721" s="26" t="s">
        <v>1238</v>
      </c>
      <c r="B1721" s="22">
        <v>5022331</v>
      </c>
      <c r="C1721" s="27" t="s">
        <v>76</v>
      </c>
      <c r="D1721" s="25" t="s">
        <v>965</v>
      </c>
      <c r="E1721" s="28"/>
    </row>
    <row r="1722" spans="1:5" ht="17" x14ac:dyDescent="0.2">
      <c r="A1722" s="26" t="s">
        <v>1238</v>
      </c>
      <c r="B1722" s="29">
        <v>800197</v>
      </c>
      <c r="C1722" s="82" t="s">
        <v>76</v>
      </c>
      <c r="D1722" s="52" t="s">
        <v>1266</v>
      </c>
      <c r="E1722" s="28"/>
    </row>
    <row r="1723" spans="1:5" ht="17" x14ac:dyDescent="0.2">
      <c r="A1723" s="26" t="s">
        <v>1238</v>
      </c>
      <c r="B1723" s="29">
        <v>797725</v>
      </c>
      <c r="C1723" s="82" t="s">
        <v>76</v>
      </c>
      <c r="D1723" s="52" t="s">
        <v>1267</v>
      </c>
      <c r="E1723" s="28"/>
    </row>
    <row r="1724" spans="1:5" ht="17" x14ac:dyDescent="0.2">
      <c r="A1724" s="26" t="s">
        <v>1238</v>
      </c>
      <c r="B1724" s="29">
        <v>5038200</v>
      </c>
      <c r="C1724" s="82" t="s">
        <v>76</v>
      </c>
      <c r="D1724" s="52" t="s">
        <v>1000</v>
      </c>
      <c r="E1724" s="28"/>
    </row>
    <row r="1725" spans="1:5" ht="17" x14ac:dyDescent="0.2">
      <c r="A1725" s="26" t="s">
        <v>1238</v>
      </c>
      <c r="B1725" s="29">
        <v>441831</v>
      </c>
      <c r="C1725" s="82" t="s">
        <v>76</v>
      </c>
      <c r="D1725" s="52" t="s">
        <v>807</v>
      </c>
      <c r="E1725" s="28"/>
    </row>
    <row r="1726" spans="1:5" ht="17" x14ac:dyDescent="0.2">
      <c r="A1726" s="26" t="s">
        <v>1238</v>
      </c>
      <c r="B1726" s="29">
        <v>756276</v>
      </c>
      <c r="C1726" s="82" t="s">
        <v>76</v>
      </c>
      <c r="D1726" s="52" t="s">
        <v>1268</v>
      </c>
      <c r="E1726" s="28"/>
    </row>
    <row r="1727" spans="1:5" ht="17" x14ac:dyDescent="0.2">
      <c r="A1727" s="26" t="s">
        <v>1238</v>
      </c>
      <c r="B1727" s="29">
        <v>2804657</v>
      </c>
      <c r="C1727" s="82" t="s">
        <v>76</v>
      </c>
      <c r="D1727" s="52" t="s">
        <v>1269</v>
      </c>
      <c r="E1727" s="28"/>
    </row>
    <row r="1728" spans="1:5" ht="17" x14ac:dyDescent="0.2">
      <c r="A1728" s="26" t="s">
        <v>1238</v>
      </c>
      <c r="B1728" s="22">
        <v>2825159</v>
      </c>
      <c r="C1728" s="27" t="s">
        <v>76</v>
      </c>
      <c r="D1728" s="25" t="s">
        <v>1270</v>
      </c>
      <c r="E1728" s="28"/>
    </row>
    <row r="1729" spans="1:5" ht="17" x14ac:dyDescent="0.2">
      <c r="A1729" s="26" t="s">
        <v>1238</v>
      </c>
      <c r="B1729" s="22">
        <v>2252217</v>
      </c>
      <c r="C1729" s="27" t="s">
        <v>76</v>
      </c>
      <c r="D1729" s="25" t="s">
        <v>1227</v>
      </c>
      <c r="E1729" s="28"/>
    </row>
    <row r="1730" spans="1:5" ht="17" x14ac:dyDescent="0.2">
      <c r="A1730" s="26" t="s">
        <v>1238</v>
      </c>
      <c r="B1730" s="22">
        <v>2822684</v>
      </c>
      <c r="C1730" s="27" t="s">
        <v>76</v>
      </c>
      <c r="D1730" s="25" t="s">
        <v>243</v>
      </c>
      <c r="E1730" s="28"/>
    </row>
    <row r="1731" spans="1:5" ht="17" x14ac:dyDescent="0.2">
      <c r="A1731" s="26" t="s">
        <v>1238</v>
      </c>
      <c r="B1731" s="22">
        <v>656779</v>
      </c>
      <c r="C1731" s="30" t="s">
        <v>76</v>
      </c>
      <c r="D1731" s="25" t="s">
        <v>185</v>
      </c>
      <c r="E1731" s="28"/>
    </row>
    <row r="1732" spans="1:5" ht="17" x14ac:dyDescent="0.2">
      <c r="A1732" s="26" t="s">
        <v>1271</v>
      </c>
      <c r="B1732" s="19" t="s">
        <v>10</v>
      </c>
      <c r="C1732" s="19" t="s">
        <v>11</v>
      </c>
      <c r="D1732" s="21" t="s">
        <v>12</v>
      </c>
      <c r="E1732" s="21" t="s">
        <v>13</v>
      </c>
    </row>
    <row r="1733" spans="1:5" ht="17" x14ac:dyDescent="0.2">
      <c r="A1733" s="26" t="s">
        <v>1271</v>
      </c>
      <c r="B1733" s="22">
        <v>373556</v>
      </c>
      <c r="C1733" s="27" t="s">
        <v>14</v>
      </c>
      <c r="D1733" s="25" t="s">
        <v>1272</v>
      </c>
      <c r="E1733" s="25" t="s">
        <v>1273</v>
      </c>
    </row>
    <row r="1734" spans="1:5" ht="17" x14ac:dyDescent="0.2">
      <c r="A1734" s="26" t="s">
        <v>1271</v>
      </c>
      <c r="B1734" s="22">
        <v>721925</v>
      </c>
      <c r="C1734" s="27" t="s">
        <v>14</v>
      </c>
      <c r="D1734" s="25" t="s">
        <v>1274</v>
      </c>
      <c r="E1734" s="25" t="str">
        <f>HYPERLINK("https://www.linkedin.com/learning/paths/become-a-content-strategist-7","Become a Content Strategist")</f>
        <v>Become a Content Strategist</v>
      </c>
    </row>
    <row r="1735" spans="1:5" ht="17" x14ac:dyDescent="0.2">
      <c r="A1735" s="26" t="s">
        <v>1271</v>
      </c>
      <c r="B1735" s="22">
        <v>158318</v>
      </c>
      <c r="C1735" s="27" t="s">
        <v>17</v>
      </c>
      <c r="D1735" s="25" t="s">
        <v>1275</v>
      </c>
      <c r="E1735" s="28"/>
    </row>
    <row r="1736" spans="1:5" ht="17" x14ac:dyDescent="0.2">
      <c r="A1736" s="26" t="s">
        <v>1271</v>
      </c>
      <c r="B1736" s="22">
        <v>180104</v>
      </c>
      <c r="C1736" s="27" t="s">
        <v>17</v>
      </c>
      <c r="D1736" s="25" t="s">
        <v>1276</v>
      </c>
      <c r="E1736" s="28"/>
    </row>
    <row r="1737" spans="1:5" ht="17" x14ac:dyDescent="0.2">
      <c r="A1737" s="26" t="s">
        <v>1271</v>
      </c>
      <c r="B1737" s="22">
        <v>373782</v>
      </c>
      <c r="C1737" s="27" t="s">
        <v>17</v>
      </c>
      <c r="D1737" s="25" t="s">
        <v>1277</v>
      </c>
      <c r="E1737" s="28"/>
    </row>
    <row r="1738" spans="1:5" ht="17" x14ac:dyDescent="0.2">
      <c r="A1738" s="26" t="s">
        <v>1271</v>
      </c>
      <c r="B1738" s="22">
        <v>373553</v>
      </c>
      <c r="C1738" s="27" t="s">
        <v>17</v>
      </c>
      <c r="D1738" s="25" t="s">
        <v>1278</v>
      </c>
      <c r="E1738" s="28"/>
    </row>
    <row r="1739" spans="1:5" ht="17" x14ac:dyDescent="0.2">
      <c r="A1739" s="26" t="s">
        <v>1271</v>
      </c>
      <c r="B1739" s="22">
        <v>158319</v>
      </c>
      <c r="C1739" s="27" t="s">
        <v>17</v>
      </c>
      <c r="D1739" s="25" t="s">
        <v>1279</v>
      </c>
      <c r="E1739" s="28"/>
    </row>
    <row r="1740" spans="1:5" ht="17" x14ac:dyDescent="0.2">
      <c r="A1740" s="26" t="s">
        <v>1271</v>
      </c>
      <c r="B1740" s="22">
        <v>699320</v>
      </c>
      <c r="C1740" s="27" t="s">
        <v>17</v>
      </c>
      <c r="D1740" s="25" t="s">
        <v>1280</v>
      </c>
      <c r="E1740" s="28"/>
    </row>
    <row r="1741" spans="1:5" ht="17" x14ac:dyDescent="0.2">
      <c r="A1741" s="26" t="s">
        <v>1271</v>
      </c>
      <c r="B1741" s="22">
        <v>699319</v>
      </c>
      <c r="C1741" s="27" t="s">
        <v>17</v>
      </c>
      <c r="D1741" s="25" t="s">
        <v>1281</v>
      </c>
      <c r="E1741" s="28"/>
    </row>
    <row r="1742" spans="1:5" ht="17" x14ac:dyDescent="0.2">
      <c r="A1742" s="26" t="s">
        <v>1271</v>
      </c>
      <c r="B1742" s="22">
        <v>2816035</v>
      </c>
      <c r="C1742" s="27" t="s">
        <v>17</v>
      </c>
      <c r="D1742" s="25" t="s">
        <v>1282</v>
      </c>
      <c r="E1742" s="28"/>
    </row>
    <row r="1743" spans="1:5" ht="17" x14ac:dyDescent="0.2">
      <c r="A1743" s="26" t="s">
        <v>1271</v>
      </c>
      <c r="B1743" s="22">
        <v>2811710</v>
      </c>
      <c r="C1743" s="27" t="s">
        <v>17</v>
      </c>
      <c r="D1743" s="25" t="s">
        <v>1283</v>
      </c>
      <c r="E1743" s="28"/>
    </row>
    <row r="1744" spans="1:5" ht="17" x14ac:dyDescent="0.2">
      <c r="A1744" s="26" t="s">
        <v>1271</v>
      </c>
      <c r="B1744" s="22">
        <v>2819138</v>
      </c>
      <c r="C1744" s="27" t="s">
        <v>17</v>
      </c>
      <c r="D1744" s="25" t="s">
        <v>1284</v>
      </c>
      <c r="E1744" s="28"/>
    </row>
    <row r="1745" spans="1:5" ht="17" x14ac:dyDescent="0.2">
      <c r="A1745" s="26" t="s">
        <v>1271</v>
      </c>
      <c r="B1745" s="22">
        <v>2819187</v>
      </c>
      <c r="C1745" s="27" t="s">
        <v>17</v>
      </c>
      <c r="D1745" s="25" t="s">
        <v>1285</v>
      </c>
      <c r="E1745" s="28"/>
    </row>
    <row r="1746" spans="1:5" ht="17" x14ac:dyDescent="0.2">
      <c r="A1746" s="26" t="s">
        <v>1271</v>
      </c>
      <c r="B1746" s="22">
        <v>2299018</v>
      </c>
      <c r="C1746" s="27" t="s">
        <v>17</v>
      </c>
      <c r="D1746" s="25" t="s">
        <v>1286</v>
      </c>
      <c r="E1746" s="28"/>
    </row>
    <row r="1747" spans="1:5" ht="17" x14ac:dyDescent="0.2">
      <c r="A1747" s="26" t="s">
        <v>1271</v>
      </c>
      <c r="B1747" s="22">
        <v>661747</v>
      </c>
      <c r="C1747" s="30" t="s">
        <v>70</v>
      </c>
      <c r="D1747" s="25" t="s">
        <v>1287</v>
      </c>
      <c r="E1747" s="28"/>
    </row>
    <row r="1748" spans="1:5" ht="17" x14ac:dyDescent="0.2">
      <c r="A1748" s="26" t="s">
        <v>1271</v>
      </c>
      <c r="B1748" s="22">
        <v>157341</v>
      </c>
      <c r="C1748" s="30" t="s">
        <v>70</v>
      </c>
      <c r="D1748" s="25" t="s">
        <v>1288</v>
      </c>
      <c r="E1748" s="28"/>
    </row>
    <row r="1749" spans="1:5" ht="17" x14ac:dyDescent="0.2">
      <c r="A1749" s="26" t="s">
        <v>1271</v>
      </c>
      <c r="B1749" s="22">
        <v>182920</v>
      </c>
      <c r="C1749" s="30" t="s">
        <v>70</v>
      </c>
      <c r="D1749" s="25" t="s">
        <v>1289</v>
      </c>
      <c r="E1749" s="28"/>
    </row>
    <row r="1750" spans="1:5" ht="17" x14ac:dyDescent="0.2">
      <c r="A1750" s="26" t="s">
        <v>1271</v>
      </c>
      <c r="B1750" s="22">
        <v>2823292</v>
      </c>
      <c r="C1750" s="30" t="s">
        <v>84</v>
      </c>
      <c r="D1750" s="25" t="s">
        <v>1290</v>
      </c>
      <c r="E1750" s="28"/>
    </row>
    <row r="1751" spans="1:5" ht="17" x14ac:dyDescent="0.2">
      <c r="A1751" s="26" t="s">
        <v>1271</v>
      </c>
      <c r="B1751" s="22">
        <v>2254042</v>
      </c>
      <c r="C1751" s="30" t="s">
        <v>84</v>
      </c>
      <c r="D1751" s="25" t="s">
        <v>1291</v>
      </c>
      <c r="E1751" s="28"/>
    </row>
    <row r="1752" spans="1:5" ht="17" x14ac:dyDescent="0.2">
      <c r="A1752" s="26" t="s">
        <v>1271</v>
      </c>
      <c r="B1752" s="22">
        <v>2824200</v>
      </c>
      <c r="C1752" s="30" t="s">
        <v>84</v>
      </c>
      <c r="D1752" s="25" t="s">
        <v>1292</v>
      </c>
      <c r="E1752" s="28"/>
    </row>
    <row r="1753" spans="1:5" ht="17" x14ac:dyDescent="0.2">
      <c r="A1753" s="26" t="s">
        <v>1271</v>
      </c>
      <c r="B1753" s="22">
        <v>147532</v>
      </c>
      <c r="C1753" s="30" t="s">
        <v>84</v>
      </c>
      <c r="D1753" s="25" t="s">
        <v>1293</v>
      </c>
      <c r="E1753" s="28"/>
    </row>
    <row r="1754" spans="1:5" ht="17" x14ac:dyDescent="0.2">
      <c r="A1754" s="26" t="s">
        <v>1271</v>
      </c>
      <c r="B1754" s="22">
        <v>183418</v>
      </c>
      <c r="C1754" s="30" t="s">
        <v>84</v>
      </c>
      <c r="D1754" s="25" t="s">
        <v>1294</v>
      </c>
      <c r="E1754" s="28"/>
    </row>
    <row r="1755" spans="1:5" ht="17" x14ac:dyDescent="0.2">
      <c r="A1755" s="26" t="s">
        <v>1271</v>
      </c>
      <c r="B1755" s="22">
        <v>516507</v>
      </c>
      <c r="C1755" s="30" t="s">
        <v>84</v>
      </c>
      <c r="D1755" s="25" t="s">
        <v>1295</v>
      </c>
      <c r="E1755" s="28"/>
    </row>
    <row r="1756" spans="1:5" ht="17" x14ac:dyDescent="0.2">
      <c r="A1756" s="26" t="s">
        <v>1271</v>
      </c>
      <c r="B1756" s="22">
        <v>791333</v>
      </c>
      <c r="C1756" s="30" t="s">
        <v>84</v>
      </c>
      <c r="D1756" s="25" t="s">
        <v>1296</v>
      </c>
      <c r="E1756" s="28"/>
    </row>
    <row r="1757" spans="1:5" ht="17" x14ac:dyDescent="0.2">
      <c r="A1757" s="26" t="s">
        <v>1271</v>
      </c>
      <c r="B1757" s="22">
        <v>580625</v>
      </c>
      <c r="C1757" s="30" t="s">
        <v>84</v>
      </c>
      <c r="D1757" s="25" t="s">
        <v>1297</v>
      </c>
      <c r="E1757" s="28"/>
    </row>
    <row r="1758" spans="1:5" ht="17" x14ac:dyDescent="0.2">
      <c r="A1758" s="26" t="s">
        <v>1271</v>
      </c>
      <c r="B1758" s="22">
        <v>642461</v>
      </c>
      <c r="C1758" s="30" t="s">
        <v>84</v>
      </c>
      <c r="D1758" s="25" t="s">
        <v>1298</v>
      </c>
      <c r="E1758" s="28"/>
    </row>
    <row r="1759" spans="1:5" ht="17" x14ac:dyDescent="0.2">
      <c r="A1759" s="26" t="s">
        <v>1271</v>
      </c>
      <c r="B1759" s="22">
        <v>151813</v>
      </c>
      <c r="C1759" s="30" t="s">
        <v>84</v>
      </c>
      <c r="D1759" s="25" t="s">
        <v>1299</v>
      </c>
      <c r="E1759" s="28"/>
    </row>
    <row r="1760" spans="1:5" ht="17" x14ac:dyDescent="0.2">
      <c r="A1760" s="26" t="s">
        <v>1271</v>
      </c>
      <c r="B1760" s="22">
        <v>608988</v>
      </c>
      <c r="C1760" s="30" t="s">
        <v>84</v>
      </c>
      <c r="D1760" s="25" t="s">
        <v>1300</v>
      </c>
      <c r="E1760" s="28"/>
    </row>
    <row r="1761" spans="1:5" ht="17" x14ac:dyDescent="0.2">
      <c r="A1761" s="26" t="s">
        <v>1271</v>
      </c>
      <c r="B1761" s="22">
        <v>373555</v>
      </c>
      <c r="C1761" s="30" t="s">
        <v>84</v>
      </c>
      <c r="D1761" s="25" t="s">
        <v>1301</v>
      </c>
      <c r="E1761" s="28"/>
    </row>
    <row r="1762" spans="1:5" ht="17" x14ac:dyDescent="0.2">
      <c r="A1762" s="26" t="s">
        <v>1271</v>
      </c>
      <c r="B1762" s="22">
        <v>156089</v>
      </c>
      <c r="C1762" s="30" t="s">
        <v>84</v>
      </c>
      <c r="D1762" s="25" t="s">
        <v>1302</v>
      </c>
      <c r="E1762" s="28"/>
    </row>
    <row r="1763" spans="1:5" ht="17" x14ac:dyDescent="0.2">
      <c r="A1763" s="26" t="s">
        <v>1271</v>
      </c>
      <c r="B1763" s="22">
        <v>183419</v>
      </c>
      <c r="C1763" s="30" t="s">
        <v>84</v>
      </c>
      <c r="D1763" s="25" t="s">
        <v>1303</v>
      </c>
      <c r="E1763" s="28"/>
    </row>
    <row r="1764" spans="1:5" ht="17" x14ac:dyDescent="0.2">
      <c r="A1764" s="26" t="s">
        <v>1271</v>
      </c>
      <c r="B1764" s="22">
        <v>574671</v>
      </c>
      <c r="C1764" s="30" t="s">
        <v>84</v>
      </c>
      <c r="D1764" s="25" t="s">
        <v>1304</v>
      </c>
      <c r="E1764" s="95"/>
    </row>
    <row r="1765" spans="1:5" ht="17" x14ac:dyDescent="0.2">
      <c r="A1765" s="26" t="s">
        <v>1271</v>
      </c>
      <c r="B1765" s="22">
        <v>721923</v>
      </c>
      <c r="C1765" s="30" t="s">
        <v>84</v>
      </c>
      <c r="D1765" s="34" t="s">
        <v>1305</v>
      </c>
      <c r="E1765" s="28"/>
    </row>
    <row r="1766" spans="1:5" ht="17" x14ac:dyDescent="0.2">
      <c r="A1766" s="26" t="s">
        <v>1271</v>
      </c>
      <c r="B1766" s="22">
        <v>699321</v>
      </c>
      <c r="C1766" s="30" t="s">
        <v>84</v>
      </c>
      <c r="D1766" s="25" t="s">
        <v>1306</v>
      </c>
      <c r="E1766" s="96"/>
    </row>
    <row r="1767" spans="1:5" ht="17" x14ac:dyDescent="0.2">
      <c r="A1767" s="26" t="s">
        <v>1271</v>
      </c>
      <c r="B1767" s="22">
        <v>89962</v>
      </c>
      <c r="C1767" s="30" t="s">
        <v>84</v>
      </c>
      <c r="D1767" s="25" t="s">
        <v>1307</v>
      </c>
      <c r="E1767" s="96"/>
    </row>
    <row r="1768" spans="1:5" ht="17" x14ac:dyDescent="0.2">
      <c r="A1768" s="26" t="s">
        <v>1271</v>
      </c>
      <c r="B1768" s="22">
        <v>2227598</v>
      </c>
      <c r="C1768" s="30" t="s">
        <v>84</v>
      </c>
      <c r="D1768" s="25" t="s">
        <v>1308</v>
      </c>
      <c r="E1768" s="96"/>
    </row>
    <row r="1769" spans="1:5" ht="17" x14ac:dyDescent="0.2">
      <c r="A1769" s="26" t="s">
        <v>1271</v>
      </c>
      <c r="B1769" s="22">
        <v>2800332</v>
      </c>
      <c r="C1769" s="30" t="s">
        <v>84</v>
      </c>
      <c r="D1769" s="25" t="s">
        <v>681</v>
      </c>
      <c r="E1769" s="96"/>
    </row>
    <row r="1770" spans="1:5" ht="17" x14ac:dyDescent="0.2">
      <c r="A1770" s="26" t="s">
        <v>1271</v>
      </c>
      <c r="B1770" s="22">
        <v>2806193</v>
      </c>
      <c r="C1770" s="30" t="s">
        <v>84</v>
      </c>
      <c r="D1770" s="25" t="s">
        <v>1309</v>
      </c>
      <c r="E1770" s="96"/>
    </row>
    <row r="1771" spans="1:5" ht="17" x14ac:dyDescent="0.2">
      <c r="A1771" s="26" t="s">
        <v>1271</v>
      </c>
      <c r="B1771" s="22">
        <v>721926</v>
      </c>
      <c r="C1771" s="27" t="s">
        <v>76</v>
      </c>
      <c r="D1771" s="25" t="s">
        <v>1310</v>
      </c>
      <c r="E1771" s="96"/>
    </row>
    <row r="1772" spans="1:5" ht="17" x14ac:dyDescent="0.2">
      <c r="A1772" s="26" t="s">
        <v>1271</v>
      </c>
      <c r="B1772" s="22">
        <v>461915</v>
      </c>
      <c r="C1772" s="27" t="s">
        <v>76</v>
      </c>
      <c r="D1772" s="25" t="s">
        <v>1311</v>
      </c>
      <c r="E1772" s="96"/>
    </row>
    <row r="1773" spans="1:5" ht="17" x14ac:dyDescent="0.2">
      <c r="A1773" s="26" t="s">
        <v>1312</v>
      </c>
      <c r="B1773" s="19" t="s">
        <v>10</v>
      </c>
      <c r="C1773" s="19" t="s">
        <v>11</v>
      </c>
      <c r="D1773" s="21" t="s">
        <v>12</v>
      </c>
      <c r="E1773" s="21" t="s">
        <v>13</v>
      </c>
    </row>
    <row r="1774" spans="1:5" ht="17" x14ac:dyDescent="0.2">
      <c r="A1774" s="26" t="s">
        <v>1312</v>
      </c>
      <c r="B1774" s="22">
        <v>624208</v>
      </c>
      <c r="C1774" s="27" t="s">
        <v>14</v>
      </c>
      <c r="D1774" s="25" t="s">
        <v>1210</v>
      </c>
      <c r="E1774" s="25" t="s">
        <v>1313</v>
      </c>
    </row>
    <row r="1775" spans="1:5" ht="17" x14ac:dyDescent="0.2">
      <c r="A1775" s="26" t="s">
        <v>1312</v>
      </c>
      <c r="B1775" s="22">
        <v>2823579</v>
      </c>
      <c r="C1775" s="27" t="s">
        <v>14</v>
      </c>
      <c r="D1775" s="25" t="s">
        <v>127</v>
      </c>
      <c r="E1775" s="25" t="s">
        <v>1314</v>
      </c>
    </row>
    <row r="1776" spans="1:5" ht="17" x14ac:dyDescent="0.2">
      <c r="A1776" s="26" t="s">
        <v>1312</v>
      </c>
      <c r="B1776" s="22">
        <v>2822453</v>
      </c>
      <c r="C1776" s="27" t="s">
        <v>14</v>
      </c>
      <c r="D1776" s="25" t="s">
        <v>1181</v>
      </c>
      <c r="E1776" s="97" t="s">
        <v>1315</v>
      </c>
    </row>
    <row r="1777" spans="1:5" ht="17" x14ac:dyDescent="0.2">
      <c r="A1777" s="26" t="s">
        <v>1312</v>
      </c>
      <c r="B1777" s="22">
        <v>2823257</v>
      </c>
      <c r="C1777" s="27" t="s">
        <v>17</v>
      </c>
      <c r="D1777" s="25" t="s">
        <v>1316</v>
      </c>
      <c r="E1777" s="97" t="s">
        <v>1317</v>
      </c>
    </row>
    <row r="1778" spans="1:5" ht="17" x14ac:dyDescent="0.2">
      <c r="A1778" s="26" t="s">
        <v>1312</v>
      </c>
      <c r="B1778" s="22">
        <v>2825404</v>
      </c>
      <c r="C1778" s="27" t="s">
        <v>17</v>
      </c>
      <c r="D1778" s="25" t="s">
        <v>899</v>
      </c>
      <c r="E1778" s="97" t="s">
        <v>1318</v>
      </c>
    </row>
    <row r="1779" spans="1:5" ht="17" x14ac:dyDescent="0.2">
      <c r="A1779" s="26" t="s">
        <v>1312</v>
      </c>
      <c r="B1779" s="22">
        <v>2825335</v>
      </c>
      <c r="C1779" s="27" t="s">
        <v>17</v>
      </c>
      <c r="D1779" s="25" t="s">
        <v>1256</v>
      </c>
      <c r="E1779" s="28"/>
    </row>
    <row r="1780" spans="1:5" ht="17" x14ac:dyDescent="0.2">
      <c r="A1780" s="26" t="s">
        <v>1312</v>
      </c>
      <c r="B1780" s="22">
        <v>585224</v>
      </c>
      <c r="C1780" s="27" t="s">
        <v>17</v>
      </c>
      <c r="D1780" s="25" t="s">
        <v>1319</v>
      </c>
      <c r="E1780" s="28"/>
    </row>
    <row r="1781" spans="1:5" ht="17" x14ac:dyDescent="0.2">
      <c r="A1781" s="26" t="s">
        <v>1312</v>
      </c>
      <c r="B1781" s="22">
        <v>2822454</v>
      </c>
      <c r="C1781" s="27" t="s">
        <v>17</v>
      </c>
      <c r="D1781" s="25" t="s">
        <v>58</v>
      </c>
      <c r="E1781" s="28"/>
    </row>
    <row r="1782" spans="1:5" ht="17" x14ac:dyDescent="0.2">
      <c r="A1782" s="26" t="s">
        <v>1312</v>
      </c>
      <c r="B1782" s="22">
        <v>2870085</v>
      </c>
      <c r="C1782" s="27" t="s">
        <v>17</v>
      </c>
      <c r="D1782" s="25" t="s">
        <v>1320</v>
      </c>
      <c r="E1782" s="28"/>
    </row>
    <row r="1783" spans="1:5" ht="17" x14ac:dyDescent="0.2">
      <c r="A1783" s="26" t="s">
        <v>1312</v>
      </c>
      <c r="B1783" s="22">
        <v>2823252</v>
      </c>
      <c r="C1783" s="27" t="s">
        <v>17</v>
      </c>
      <c r="D1783" s="25" t="s">
        <v>115</v>
      </c>
      <c r="E1783" s="28"/>
    </row>
    <row r="1784" spans="1:5" ht="17" x14ac:dyDescent="0.2">
      <c r="A1784" s="26" t="s">
        <v>1312</v>
      </c>
      <c r="B1784" s="22">
        <v>2833041</v>
      </c>
      <c r="C1784" s="27" t="s">
        <v>17</v>
      </c>
      <c r="D1784" s="25" t="s">
        <v>1321</v>
      </c>
      <c r="E1784" s="28"/>
    </row>
    <row r="1785" spans="1:5" ht="17" x14ac:dyDescent="0.2">
      <c r="A1785" s="26" t="s">
        <v>1312</v>
      </c>
      <c r="B1785" s="22">
        <v>2803042</v>
      </c>
      <c r="C1785" s="27" t="s">
        <v>17</v>
      </c>
      <c r="D1785" s="25" t="s">
        <v>1322</v>
      </c>
      <c r="E1785" s="28"/>
    </row>
    <row r="1786" spans="1:5" ht="17" x14ac:dyDescent="0.2">
      <c r="A1786" s="26" t="s">
        <v>1312</v>
      </c>
      <c r="B1786" s="22">
        <v>2876024</v>
      </c>
      <c r="C1786" s="27" t="s">
        <v>17</v>
      </c>
      <c r="D1786" s="25" t="s">
        <v>102</v>
      </c>
      <c r="E1786" s="28"/>
    </row>
    <row r="1787" spans="1:5" ht="17" x14ac:dyDescent="0.2">
      <c r="A1787" s="26" t="s">
        <v>1312</v>
      </c>
      <c r="B1787" s="22">
        <v>2366892</v>
      </c>
      <c r="C1787" s="27" t="s">
        <v>17</v>
      </c>
      <c r="D1787" s="25" t="s">
        <v>1323</v>
      </c>
      <c r="E1787" s="28"/>
    </row>
    <row r="1788" spans="1:5" ht="17" x14ac:dyDescent="0.2">
      <c r="A1788" s="26" t="s">
        <v>1312</v>
      </c>
      <c r="B1788" s="22">
        <v>2825479</v>
      </c>
      <c r="C1788" s="27" t="s">
        <v>17</v>
      </c>
      <c r="D1788" s="25" t="s">
        <v>59</v>
      </c>
      <c r="E1788" s="96"/>
    </row>
    <row r="1789" spans="1:5" ht="17" x14ac:dyDescent="0.2">
      <c r="A1789" s="26" t="s">
        <v>1312</v>
      </c>
      <c r="B1789" s="22">
        <v>794118</v>
      </c>
      <c r="C1789" s="27" t="s">
        <v>17</v>
      </c>
      <c r="D1789" s="25" t="s">
        <v>767</v>
      </c>
      <c r="E1789" s="96"/>
    </row>
    <row r="1790" spans="1:5" ht="17" x14ac:dyDescent="0.2">
      <c r="A1790" s="26" t="s">
        <v>1312</v>
      </c>
      <c r="B1790" s="22">
        <v>2803040</v>
      </c>
      <c r="C1790" s="27" t="s">
        <v>17</v>
      </c>
      <c r="D1790" s="25" t="s">
        <v>1324</v>
      </c>
      <c r="E1790" s="96"/>
    </row>
    <row r="1791" spans="1:5" ht="17" x14ac:dyDescent="0.2">
      <c r="A1791" s="26" t="s">
        <v>1312</v>
      </c>
      <c r="B1791" s="22">
        <v>2812492</v>
      </c>
      <c r="C1791" s="27" t="s">
        <v>17</v>
      </c>
      <c r="D1791" s="25" t="s">
        <v>1253</v>
      </c>
      <c r="E1791" s="96"/>
    </row>
    <row r="1792" spans="1:5" ht="17" x14ac:dyDescent="0.2">
      <c r="A1792" s="26" t="s">
        <v>1312</v>
      </c>
      <c r="B1792" s="22">
        <v>2825340</v>
      </c>
      <c r="C1792" s="27" t="s">
        <v>17</v>
      </c>
      <c r="D1792" s="25" t="s">
        <v>1325</v>
      </c>
      <c r="E1792" s="96"/>
    </row>
    <row r="1793" spans="1:5" ht="17" x14ac:dyDescent="0.2">
      <c r="A1793" s="26" t="s">
        <v>1312</v>
      </c>
      <c r="B1793" s="22">
        <v>592484</v>
      </c>
      <c r="C1793" s="27" t="s">
        <v>17</v>
      </c>
      <c r="D1793" s="25" t="s">
        <v>1326</v>
      </c>
      <c r="E1793" s="96"/>
    </row>
    <row r="1794" spans="1:5" ht="17" x14ac:dyDescent="0.2">
      <c r="A1794" s="26" t="s">
        <v>1312</v>
      </c>
      <c r="B1794" s="22">
        <v>2873102</v>
      </c>
      <c r="C1794" s="27" t="s">
        <v>17</v>
      </c>
      <c r="D1794" s="25" t="s">
        <v>1327</v>
      </c>
      <c r="E1794" s="96"/>
    </row>
    <row r="1795" spans="1:5" ht="17" x14ac:dyDescent="0.2">
      <c r="A1795" s="26" t="s">
        <v>1312</v>
      </c>
      <c r="B1795" s="22">
        <v>2833042</v>
      </c>
      <c r="C1795" s="27" t="s">
        <v>17</v>
      </c>
      <c r="D1795" s="25" t="s">
        <v>1328</v>
      </c>
      <c r="E1795" s="96"/>
    </row>
    <row r="1796" spans="1:5" ht="17" x14ac:dyDescent="0.2">
      <c r="A1796" s="26" t="s">
        <v>1312</v>
      </c>
      <c r="B1796" s="22">
        <v>2804062</v>
      </c>
      <c r="C1796" s="27" t="s">
        <v>17</v>
      </c>
      <c r="D1796" s="25" t="s">
        <v>1329</v>
      </c>
      <c r="E1796" s="96"/>
    </row>
    <row r="1797" spans="1:5" ht="17" x14ac:dyDescent="0.2">
      <c r="A1797" s="26" t="s">
        <v>1312</v>
      </c>
      <c r="B1797" s="22">
        <v>2802031</v>
      </c>
      <c r="C1797" s="27" t="s">
        <v>17</v>
      </c>
      <c r="D1797" s="25" t="s">
        <v>1330</v>
      </c>
      <c r="E1797" s="96"/>
    </row>
    <row r="1798" spans="1:5" ht="17" x14ac:dyDescent="0.2">
      <c r="A1798" s="26" t="s">
        <v>1312</v>
      </c>
      <c r="B1798" s="22">
        <v>2823287</v>
      </c>
      <c r="C1798" s="27" t="s">
        <v>17</v>
      </c>
      <c r="D1798" s="25" t="s">
        <v>1331</v>
      </c>
      <c r="E1798" s="96"/>
    </row>
    <row r="1799" spans="1:5" ht="17" x14ac:dyDescent="0.2">
      <c r="A1799" s="26" t="s">
        <v>1312</v>
      </c>
      <c r="B1799" s="22">
        <v>2802032</v>
      </c>
      <c r="C1799" s="27" t="s">
        <v>17</v>
      </c>
      <c r="D1799" s="25" t="s">
        <v>1332</v>
      </c>
      <c r="E1799" s="96"/>
    </row>
    <row r="1800" spans="1:5" ht="17" x14ac:dyDescent="0.2">
      <c r="A1800" s="26" t="s">
        <v>1312</v>
      </c>
      <c r="B1800" s="22">
        <v>570966</v>
      </c>
      <c r="C1800" s="27" t="s">
        <v>17</v>
      </c>
      <c r="D1800" s="25" t="s">
        <v>207</v>
      </c>
      <c r="E1800" s="96"/>
    </row>
    <row r="1801" spans="1:5" ht="17" x14ac:dyDescent="0.2">
      <c r="A1801" s="26" t="s">
        <v>1312</v>
      </c>
      <c r="B1801" s="22">
        <v>2835073</v>
      </c>
      <c r="C1801" s="27" t="s">
        <v>17</v>
      </c>
      <c r="D1801" s="25" t="s">
        <v>1333</v>
      </c>
      <c r="E1801" s="96"/>
    </row>
    <row r="1802" spans="1:5" ht="17" x14ac:dyDescent="0.2">
      <c r="A1802" s="26" t="s">
        <v>1312</v>
      </c>
      <c r="B1802" s="22">
        <v>622054</v>
      </c>
      <c r="C1802" s="27" t="s">
        <v>17</v>
      </c>
      <c r="D1802" s="25" t="s">
        <v>206</v>
      </c>
      <c r="E1802" s="96"/>
    </row>
    <row r="1803" spans="1:5" ht="17" x14ac:dyDescent="0.2">
      <c r="A1803" s="26" t="s">
        <v>1312</v>
      </c>
      <c r="B1803" s="22">
        <v>2811713</v>
      </c>
      <c r="C1803" s="27" t="s">
        <v>17</v>
      </c>
      <c r="D1803" s="25" t="s">
        <v>112</v>
      </c>
      <c r="E1803" s="96"/>
    </row>
    <row r="1804" spans="1:5" ht="17" x14ac:dyDescent="0.2">
      <c r="A1804" s="26" t="s">
        <v>1312</v>
      </c>
      <c r="B1804" s="22">
        <v>2832004</v>
      </c>
      <c r="C1804" s="27" t="s">
        <v>17</v>
      </c>
      <c r="D1804" s="25" t="s">
        <v>1334</v>
      </c>
      <c r="E1804" s="96"/>
    </row>
    <row r="1805" spans="1:5" ht="17" x14ac:dyDescent="0.2">
      <c r="A1805" s="26" t="s">
        <v>1312</v>
      </c>
      <c r="B1805" s="22">
        <v>2864355</v>
      </c>
      <c r="C1805" s="27" t="s">
        <v>17</v>
      </c>
      <c r="D1805" s="25" t="s">
        <v>1335</v>
      </c>
      <c r="E1805" s="96"/>
    </row>
    <row r="1806" spans="1:5" ht="17" x14ac:dyDescent="0.2">
      <c r="A1806" s="26" t="s">
        <v>1312</v>
      </c>
      <c r="B1806" s="22">
        <v>2810626</v>
      </c>
      <c r="C1806" s="27" t="s">
        <v>17</v>
      </c>
      <c r="D1806" s="25" t="s">
        <v>110</v>
      </c>
      <c r="E1806" s="96"/>
    </row>
    <row r="1807" spans="1:5" ht="17" x14ac:dyDescent="0.2">
      <c r="A1807" s="26" t="s">
        <v>1312</v>
      </c>
      <c r="B1807" s="22">
        <v>599593</v>
      </c>
      <c r="C1807" s="27" t="s">
        <v>17</v>
      </c>
      <c r="D1807" s="25" t="s">
        <v>1336</v>
      </c>
      <c r="E1807" s="96"/>
    </row>
    <row r="1808" spans="1:5" ht="17" x14ac:dyDescent="0.2">
      <c r="A1808" s="26" t="s">
        <v>1312</v>
      </c>
      <c r="B1808" s="22">
        <v>2315934</v>
      </c>
      <c r="C1808" s="27" t="s">
        <v>70</v>
      </c>
      <c r="D1808" s="25" t="s">
        <v>217</v>
      </c>
      <c r="E1808" s="96"/>
    </row>
    <row r="1809" spans="1:5" ht="17" x14ac:dyDescent="0.2">
      <c r="A1809" s="26" t="s">
        <v>1312</v>
      </c>
      <c r="B1809" s="22">
        <v>659269</v>
      </c>
      <c r="C1809" s="27" t="s">
        <v>70</v>
      </c>
      <c r="D1809" s="25" t="s">
        <v>122</v>
      </c>
      <c r="E1809" s="96"/>
    </row>
    <row r="1810" spans="1:5" ht="17" x14ac:dyDescent="0.2">
      <c r="A1810" s="26" t="s">
        <v>1312</v>
      </c>
      <c r="B1810" s="22">
        <v>622050</v>
      </c>
      <c r="C1810" s="27" t="s">
        <v>70</v>
      </c>
      <c r="D1810" s="25" t="s">
        <v>121</v>
      </c>
      <c r="E1810" s="96"/>
    </row>
    <row r="1811" spans="1:5" ht="17" x14ac:dyDescent="0.2">
      <c r="A1811" s="26" t="s">
        <v>1312</v>
      </c>
      <c r="B1811" s="22">
        <v>2212156</v>
      </c>
      <c r="C1811" s="27" t="s">
        <v>70</v>
      </c>
      <c r="D1811" s="25" t="s">
        <v>1337</v>
      </c>
      <c r="E1811" s="96"/>
    </row>
    <row r="1812" spans="1:5" ht="17" x14ac:dyDescent="0.2">
      <c r="A1812" s="26" t="s">
        <v>1312</v>
      </c>
      <c r="B1812" s="22">
        <v>2848327</v>
      </c>
      <c r="C1812" s="27" t="s">
        <v>70</v>
      </c>
      <c r="D1812" s="25" t="s">
        <v>1192</v>
      </c>
      <c r="E1812" s="96"/>
    </row>
    <row r="1813" spans="1:5" ht="17" x14ac:dyDescent="0.2">
      <c r="A1813" s="26" t="s">
        <v>1312</v>
      </c>
      <c r="B1813" s="22">
        <v>365732</v>
      </c>
      <c r="C1813" s="27" t="s">
        <v>84</v>
      </c>
      <c r="D1813" s="25" t="s">
        <v>1338</v>
      </c>
      <c r="E1813" s="96"/>
    </row>
    <row r="1814" spans="1:5" ht="17" x14ac:dyDescent="0.2">
      <c r="A1814" s="26" t="s">
        <v>1312</v>
      </c>
      <c r="B1814" s="22">
        <v>444524</v>
      </c>
      <c r="C1814" s="27" t="s">
        <v>84</v>
      </c>
      <c r="D1814" s="25" t="s">
        <v>1339</v>
      </c>
      <c r="E1814" s="96"/>
    </row>
    <row r="1815" spans="1:5" ht="17" x14ac:dyDescent="0.2">
      <c r="A1815" s="26" t="s">
        <v>1312</v>
      </c>
      <c r="B1815" s="22">
        <v>604203</v>
      </c>
      <c r="C1815" s="27" t="s">
        <v>84</v>
      </c>
      <c r="D1815" s="25" t="s">
        <v>1340</v>
      </c>
      <c r="E1815" s="96"/>
    </row>
    <row r="1816" spans="1:5" ht="17" x14ac:dyDescent="0.2">
      <c r="A1816" s="26" t="s">
        <v>1312</v>
      </c>
      <c r="B1816" s="22">
        <v>2242044</v>
      </c>
      <c r="C1816" s="27" t="s">
        <v>84</v>
      </c>
      <c r="D1816" s="25" t="s">
        <v>950</v>
      </c>
      <c r="E1816" s="96"/>
    </row>
    <row r="1817" spans="1:5" ht="17" x14ac:dyDescent="0.2">
      <c r="A1817" s="26" t="s">
        <v>1312</v>
      </c>
      <c r="B1817" s="22">
        <v>519669</v>
      </c>
      <c r="C1817" s="27" t="s">
        <v>84</v>
      </c>
      <c r="D1817" s="25" t="s">
        <v>1341</v>
      </c>
      <c r="E1817" s="96"/>
    </row>
    <row r="1818" spans="1:5" ht="17" x14ac:dyDescent="0.2">
      <c r="A1818" s="26" t="s">
        <v>1312</v>
      </c>
      <c r="B1818" s="22">
        <v>669533</v>
      </c>
      <c r="C1818" s="27" t="s">
        <v>84</v>
      </c>
      <c r="D1818" s="25" t="s">
        <v>38</v>
      </c>
      <c r="E1818" s="96"/>
    </row>
    <row r="1819" spans="1:5" ht="17" x14ac:dyDescent="0.2">
      <c r="A1819" s="26" t="s">
        <v>1312</v>
      </c>
      <c r="B1819" s="22">
        <v>604204</v>
      </c>
      <c r="C1819" s="27" t="s">
        <v>84</v>
      </c>
      <c r="D1819" s="25" t="s">
        <v>1342</v>
      </c>
      <c r="E1819" s="96"/>
    </row>
    <row r="1820" spans="1:5" ht="17" x14ac:dyDescent="0.2">
      <c r="A1820" s="26" t="s">
        <v>1312</v>
      </c>
      <c r="B1820" s="22">
        <v>604207</v>
      </c>
      <c r="C1820" s="27" t="s">
        <v>84</v>
      </c>
      <c r="D1820" s="25" t="s">
        <v>1343</v>
      </c>
      <c r="E1820" s="96"/>
    </row>
    <row r="1821" spans="1:5" ht="17" x14ac:dyDescent="0.2">
      <c r="A1821" s="26" t="s">
        <v>1312</v>
      </c>
      <c r="B1821" s="22">
        <v>2243048</v>
      </c>
      <c r="C1821" s="27" t="s">
        <v>84</v>
      </c>
      <c r="D1821" s="25" t="s">
        <v>906</v>
      </c>
      <c r="E1821" s="96"/>
    </row>
    <row r="1822" spans="1:5" ht="17" x14ac:dyDescent="0.2">
      <c r="A1822" s="26" t="s">
        <v>1312</v>
      </c>
      <c r="B1822" s="22">
        <v>2817014</v>
      </c>
      <c r="C1822" s="27" t="s">
        <v>84</v>
      </c>
      <c r="D1822" s="25" t="s">
        <v>1344</v>
      </c>
      <c r="E1822" s="96"/>
    </row>
    <row r="1823" spans="1:5" ht="17" x14ac:dyDescent="0.2">
      <c r="A1823" s="26" t="s">
        <v>1312</v>
      </c>
      <c r="B1823" s="22">
        <v>2315933</v>
      </c>
      <c r="C1823" s="27" t="s">
        <v>84</v>
      </c>
      <c r="D1823" s="25" t="s">
        <v>1345</v>
      </c>
      <c r="E1823" s="96"/>
    </row>
    <row r="1824" spans="1:5" ht="17" x14ac:dyDescent="0.2">
      <c r="A1824" s="26" t="s">
        <v>1312</v>
      </c>
      <c r="B1824" s="22">
        <v>2243049</v>
      </c>
      <c r="C1824" s="27" t="s">
        <v>84</v>
      </c>
      <c r="D1824" s="25" t="s">
        <v>952</v>
      </c>
      <c r="E1824" s="96"/>
    </row>
    <row r="1825" spans="1:5" ht="17" x14ac:dyDescent="0.2">
      <c r="A1825" s="26" t="s">
        <v>1312</v>
      </c>
      <c r="B1825" s="22">
        <v>721912</v>
      </c>
      <c r="C1825" s="27" t="s">
        <v>84</v>
      </c>
      <c r="D1825" s="25" t="s">
        <v>1346</v>
      </c>
      <c r="E1825" s="96"/>
    </row>
    <row r="1826" spans="1:5" ht="17" x14ac:dyDescent="0.2">
      <c r="A1826" s="26" t="s">
        <v>1312</v>
      </c>
      <c r="B1826" s="22">
        <v>151543</v>
      </c>
      <c r="C1826" s="27" t="s">
        <v>84</v>
      </c>
      <c r="D1826" s="25" t="s">
        <v>1347</v>
      </c>
      <c r="E1826" s="96"/>
    </row>
    <row r="1827" spans="1:5" ht="17" x14ac:dyDescent="0.2">
      <c r="A1827" s="26" t="s">
        <v>1312</v>
      </c>
      <c r="B1827" s="22">
        <v>604208</v>
      </c>
      <c r="C1827" s="27" t="s">
        <v>84</v>
      </c>
      <c r="D1827" s="25" t="s">
        <v>1348</v>
      </c>
      <c r="E1827" s="96"/>
    </row>
    <row r="1828" spans="1:5" ht="17" x14ac:dyDescent="0.2">
      <c r="A1828" s="26" t="s">
        <v>1312</v>
      </c>
      <c r="B1828" s="22">
        <v>426767</v>
      </c>
      <c r="C1828" s="27" t="s">
        <v>84</v>
      </c>
      <c r="D1828" s="25" t="s">
        <v>1349</v>
      </c>
      <c r="E1828" s="96"/>
    </row>
    <row r="1829" spans="1:5" ht="17" x14ac:dyDescent="0.2">
      <c r="A1829" s="26" t="s">
        <v>1312</v>
      </c>
      <c r="B1829" s="22">
        <v>373786</v>
      </c>
      <c r="C1829" s="27" t="s">
        <v>84</v>
      </c>
      <c r="D1829" s="25" t="s">
        <v>1350</v>
      </c>
      <c r="E1829" s="96"/>
    </row>
    <row r="1830" spans="1:5" ht="17" x14ac:dyDescent="0.2">
      <c r="A1830" s="26" t="s">
        <v>1312</v>
      </c>
      <c r="B1830" s="22">
        <v>153829</v>
      </c>
      <c r="C1830" s="27" t="s">
        <v>84</v>
      </c>
      <c r="D1830" s="25" t="s">
        <v>1351</v>
      </c>
      <c r="E1830" s="96"/>
    </row>
    <row r="1831" spans="1:5" ht="17" x14ac:dyDescent="0.2">
      <c r="A1831" s="26" t="s">
        <v>1312</v>
      </c>
      <c r="B1831" s="22">
        <v>2242037</v>
      </c>
      <c r="C1831" s="27" t="s">
        <v>84</v>
      </c>
      <c r="D1831" s="25" t="s">
        <v>1352</v>
      </c>
      <c r="E1831" s="96"/>
    </row>
    <row r="1832" spans="1:5" ht="17" x14ac:dyDescent="0.2">
      <c r="A1832" s="26" t="s">
        <v>1312</v>
      </c>
      <c r="B1832" s="22">
        <v>2243046</v>
      </c>
      <c r="C1832" s="27" t="s">
        <v>84</v>
      </c>
      <c r="D1832" s="25" t="s">
        <v>1353</v>
      </c>
      <c r="E1832" s="96"/>
    </row>
    <row r="1833" spans="1:5" ht="17" x14ac:dyDescent="0.2">
      <c r="A1833" s="26" t="s">
        <v>1312</v>
      </c>
      <c r="B1833" s="22">
        <v>2841516</v>
      </c>
      <c r="C1833" s="27" t="s">
        <v>84</v>
      </c>
      <c r="D1833" s="25" t="s">
        <v>89</v>
      </c>
      <c r="E1833" s="96"/>
    </row>
    <row r="1834" spans="1:5" ht="17" x14ac:dyDescent="0.2">
      <c r="A1834" s="26" t="s">
        <v>1312</v>
      </c>
      <c r="B1834" s="22">
        <v>2833081</v>
      </c>
      <c r="C1834" s="27" t="s">
        <v>84</v>
      </c>
      <c r="D1834" s="25" t="s">
        <v>1354</v>
      </c>
      <c r="E1834" s="96"/>
    </row>
    <row r="1835" spans="1:5" ht="17" x14ac:dyDescent="0.2">
      <c r="A1835" s="26" t="s">
        <v>1312</v>
      </c>
      <c r="B1835" s="22">
        <v>2822423</v>
      </c>
      <c r="C1835" s="27" t="s">
        <v>84</v>
      </c>
      <c r="D1835" s="25" t="s">
        <v>1355</v>
      </c>
      <c r="E1835" s="96"/>
    </row>
    <row r="1836" spans="1:5" ht="17" x14ac:dyDescent="0.2">
      <c r="A1836" s="26" t="s">
        <v>1312</v>
      </c>
      <c r="B1836" s="22">
        <v>704110</v>
      </c>
      <c r="C1836" s="27" t="s">
        <v>84</v>
      </c>
      <c r="D1836" s="25" t="s">
        <v>1246</v>
      </c>
      <c r="E1836" s="96"/>
    </row>
    <row r="1837" spans="1:5" ht="17" x14ac:dyDescent="0.2">
      <c r="A1837" s="26" t="s">
        <v>1312</v>
      </c>
      <c r="B1837" s="22">
        <v>604205</v>
      </c>
      <c r="C1837" s="27" t="s">
        <v>84</v>
      </c>
      <c r="D1837" s="25" t="s">
        <v>1356</v>
      </c>
      <c r="E1837" s="96"/>
    </row>
    <row r="1838" spans="1:5" ht="17" x14ac:dyDescent="0.2">
      <c r="A1838" s="26" t="s">
        <v>1312</v>
      </c>
      <c r="B1838" s="22">
        <v>751311</v>
      </c>
      <c r="C1838" s="27" t="s">
        <v>84</v>
      </c>
      <c r="D1838" s="25" t="s">
        <v>1357</v>
      </c>
      <c r="E1838" s="96"/>
    </row>
    <row r="1839" spans="1:5" ht="17" x14ac:dyDescent="0.2">
      <c r="A1839" s="26" t="s">
        <v>1312</v>
      </c>
      <c r="B1839" s="22">
        <v>145310</v>
      </c>
      <c r="C1839" s="27" t="s">
        <v>84</v>
      </c>
      <c r="D1839" s="25" t="s">
        <v>1358</v>
      </c>
      <c r="E1839" s="96"/>
    </row>
    <row r="1840" spans="1:5" ht="17" x14ac:dyDescent="0.2">
      <c r="A1840" s="26" t="s">
        <v>1312</v>
      </c>
      <c r="B1840" s="22">
        <v>604206</v>
      </c>
      <c r="C1840" s="27" t="s">
        <v>84</v>
      </c>
      <c r="D1840" s="25" t="s">
        <v>1359</v>
      </c>
      <c r="E1840" s="96"/>
    </row>
    <row r="1841" spans="1:5" ht="17" x14ac:dyDescent="0.2">
      <c r="A1841" s="26" t="s">
        <v>1312</v>
      </c>
      <c r="B1841" s="22">
        <v>786350</v>
      </c>
      <c r="C1841" s="27" t="s">
        <v>84</v>
      </c>
      <c r="D1841" s="25" t="s">
        <v>1360</v>
      </c>
      <c r="E1841" s="96"/>
    </row>
    <row r="1842" spans="1:5" ht="17" x14ac:dyDescent="0.2">
      <c r="A1842" s="26" t="s">
        <v>1312</v>
      </c>
      <c r="B1842" s="22">
        <v>802831</v>
      </c>
      <c r="C1842" s="27" t="s">
        <v>84</v>
      </c>
      <c r="D1842" s="25" t="s">
        <v>1361</v>
      </c>
      <c r="E1842" s="96"/>
    </row>
    <row r="1843" spans="1:5" ht="17" x14ac:dyDescent="0.2">
      <c r="A1843" s="26" t="s">
        <v>1312</v>
      </c>
      <c r="B1843" s="22">
        <v>794115</v>
      </c>
      <c r="C1843" s="27" t="s">
        <v>84</v>
      </c>
      <c r="D1843" s="25" t="s">
        <v>1362</v>
      </c>
      <c r="E1843" s="96"/>
    </row>
    <row r="1844" spans="1:5" ht="17" x14ac:dyDescent="0.2">
      <c r="A1844" s="26" t="s">
        <v>1312</v>
      </c>
      <c r="B1844" s="22">
        <v>5015874</v>
      </c>
      <c r="C1844" s="27" t="s">
        <v>76</v>
      </c>
      <c r="D1844" s="25" t="s">
        <v>1363</v>
      </c>
      <c r="E1844" s="96"/>
    </row>
    <row r="1845" spans="1:5" ht="17" x14ac:dyDescent="0.2">
      <c r="A1845" s="26" t="s">
        <v>1312</v>
      </c>
      <c r="B1845" s="22">
        <v>636109</v>
      </c>
      <c r="C1845" s="27" t="s">
        <v>76</v>
      </c>
      <c r="D1845" s="25" t="s">
        <v>1364</v>
      </c>
      <c r="E1845" s="96"/>
    </row>
    <row r="1846" spans="1:5" ht="17" x14ac:dyDescent="0.2">
      <c r="A1846" s="26" t="s">
        <v>1312</v>
      </c>
      <c r="B1846" s="22">
        <v>5015871</v>
      </c>
      <c r="C1846" s="27" t="s">
        <v>76</v>
      </c>
      <c r="D1846" s="25" t="s">
        <v>1365</v>
      </c>
      <c r="E1846" s="96"/>
    </row>
    <row r="1847" spans="1:5" ht="17" x14ac:dyDescent="0.2">
      <c r="A1847" s="26" t="s">
        <v>1312</v>
      </c>
      <c r="B1847" s="22">
        <v>5015870</v>
      </c>
      <c r="C1847" s="27" t="s">
        <v>76</v>
      </c>
      <c r="D1847" s="25" t="s">
        <v>1366</v>
      </c>
      <c r="E1847" s="96"/>
    </row>
    <row r="1848" spans="1:5" ht="17" x14ac:dyDescent="0.2">
      <c r="A1848" s="26" t="s">
        <v>1312</v>
      </c>
      <c r="B1848" s="22">
        <v>769279</v>
      </c>
      <c r="C1848" s="27" t="s">
        <v>76</v>
      </c>
      <c r="D1848" s="25" t="s">
        <v>794</v>
      </c>
      <c r="E1848" s="96"/>
    </row>
    <row r="1849" spans="1:5" ht="17" x14ac:dyDescent="0.2">
      <c r="A1849" s="26" t="s">
        <v>1312</v>
      </c>
      <c r="B1849" s="22">
        <v>713374</v>
      </c>
      <c r="C1849" s="27" t="s">
        <v>76</v>
      </c>
      <c r="D1849" s="25" t="s">
        <v>1367</v>
      </c>
      <c r="E1849" s="96"/>
    </row>
    <row r="1850" spans="1:5" ht="17" x14ac:dyDescent="0.2">
      <c r="A1850" s="26" t="s">
        <v>1312</v>
      </c>
      <c r="B1850" s="22">
        <v>5015879</v>
      </c>
      <c r="C1850" s="27" t="s">
        <v>76</v>
      </c>
      <c r="D1850" s="25" t="s">
        <v>1368</v>
      </c>
      <c r="E1850" s="96"/>
    </row>
    <row r="1851" spans="1:5" ht="17" x14ac:dyDescent="0.2">
      <c r="A1851" s="26" t="s">
        <v>1312</v>
      </c>
      <c r="B1851" s="22">
        <v>2802463</v>
      </c>
      <c r="C1851" s="27" t="s">
        <v>76</v>
      </c>
      <c r="D1851" s="25" t="s">
        <v>1369</v>
      </c>
      <c r="E1851" s="96"/>
    </row>
  </sheetData>
  <autoFilter ref="A1:E1851" xr:uid="{00000000-0009-0000-0000-000001000000}"/>
  <hyperlinks>
    <hyperlink ref="D3" r:id="rId1" xr:uid="{00000000-0004-0000-0100-000000000000}"/>
    <hyperlink ref="E3" r:id="rId2" xr:uid="{00000000-0004-0000-0100-000001000000}"/>
    <hyperlink ref="D4" r:id="rId3" xr:uid="{00000000-0004-0000-0100-000002000000}"/>
    <hyperlink ref="D5" r:id="rId4" xr:uid="{00000000-0004-0000-0100-000003000000}"/>
    <hyperlink ref="D6" r:id="rId5" xr:uid="{00000000-0004-0000-0100-000004000000}"/>
    <hyperlink ref="E6" r:id="rId6" xr:uid="{00000000-0004-0000-0100-000005000000}"/>
    <hyperlink ref="D7" r:id="rId7" xr:uid="{00000000-0004-0000-0100-000006000000}"/>
    <hyperlink ref="D8" r:id="rId8" xr:uid="{00000000-0004-0000-0100-000007000000}"/>
    <hyperlink ref="D9" r:id="rId9" xr:uid="{00000000-0004-0000-0100-000008000000}"/>
    <hyperlink ref="D10" r:id="rId10" xr:uid="{00000000-0004-0000-0100-000009000000}"/>
    <hyperlink ref="D11" r:id="rId11" xr:uid="{00000000-0004-0000-0100-00000A000000}"/>
    <hyperlink ref="D12" r:id="rId12" xr:uid="{00000000-0004-0000-0100-00000B000000}"/>
    <hyperlink ref="D13" r:id="rId13" xr:uid="{00000000-0004-0000-0100-00000C000000}"/>
    <hyperlink ref="D14" r:id="rId14" xr:uid="{00000000-0004-0000-0100-00000D000000}"/>
    <hyperlink ref="D15" r:id="rId15" xr:uid="{00000000-0004-0000-0100-00000E000000}"/>
    <hyperlink ref="D16" r:id="rId16" xr:uid="{00000000-0004-0000-0100-00000F000000}"/>
    <hyperlink ref="D17" r:id="rId17" xr:uid="{00000000-0004-0000-0100-000010000000}"/>
    <hyperlink ref="D18" r:id="rId18" xr:uid="{00000000-0004-0000-0100-000011000000}"/>
    <hyperlink ref="D19" r:id="rId19" xr:uid="{00000000-0004-0000-0100-000012000000}"/>
    <hyperlink ref="D20" r:id="rId20" xr:uid="{00000000-0004-0000-0100-000013000000}"/>
    <hyperlink ref="D21" r:id="rId21" xr:uid="{00000000-0004-0000-0100-000014000000}"/>
    <hyperlink ref="D22" r:id="rId22" xr:uid="{00000000-0004-0000-0100-000015000000}"/>
    <hyperlink ref="D23" r:id="rId23" xr:uid="{00000000-0004-0000-0100-000016000000}"/>
    <hyperlink ref="D24" r:id="rId24" xr:uid="{00000000-0004-0000-0100-000017000000}"/>
    <hyperlink ref="D25" r:id="rId25" xr:uid="{00000000-0004-0000-0100-000018000000}"/>
    <hyperlink ref="D26" r:id="rId26" xr:uid="{00000000-0004-0000-0100-000019000000}"/>
    <hyperlink ref="D27" r:id="rId27" xr:uid="{00000000-0004-0000-0100-00001A000000}"/>
    <hyperlink ref="D28" r:id="rId28" xr:uid="{00000000-0004-0000-0100-00001B000000}"/>
    <hyperlink ref="D29" r:id="rId29" xr:uid="{00000000-0004-0000-0100-00001C000000}"/>
    <hyperlink ref="D31" r:id="rId30" xr:uid="{00000000-0004-0000-0100-00001D000000}"/>
    <hyperlink ref="D32" r:id="rId31" xr:uid="{00000000-0004-0000-0100-00001E000000}"/>
    <hyperlink ref="D33" r:id="rId32" xr:uid="{00000000-0004-0000-0100-00001F000000}"/>
    <hyperlink ref="D34" r:id="rId33" xr:uid="{00000000-0004-0000-0100-000020000000}"/>
    <hyperlink ref="D35" r:id="rId34" xr:uid="{00000000-0004-0000-0100-000021000000}"/>
    <hyperlink ref="D36" r:id="rId35" xr:uid="{00000000-0004-0000-0100-000022000000}"/>
    <hyperlink ref="D37" r:id="rId36" xr:uid="{00000000-0004-0000-0100-000023000000}"/>
    <hyperlink ref="D38" r:id="rId37" xr:uid="{00000000-0004-0000-0100-000024000000}"/>
    <hyperlink ref="D39" r:id="rId38" xr:uid="{00000000-0004-0000-0100-000025000000}"/>
    <hyperlink ref="D40" r:id="rId39" xr:uid="{00000000-0004-0000-0100-000026000000}"/>
    <hyperlink ref="D41" r:id="rId40" xr:uid="{00000000-0004-0000-0100-000027000000}"/>
    <hyperlink ref="D42" r:id="rId41" xr:uid="{00000000-0004-0000-0100-000028000000}"/>
    <hyperlink ref="D43" r:id="rId42" xr:uid="{00000000-0004-0000-0100-000029000000}"/>
    <hyperlink ref="D44" r:id="rId43" xr:uid="{00000000-0004-0000-0100-00002A000000}"/>
    <hyperlink ref="D45" r:id="rId44" xr:uid="{00000000-0004-0000-0100-00002B000000}"/>
    <hyperlink ref="D46" r:id="rId45" xr:uid="{00000000-0004-0000-0100-00002C000000}"/>
    <hyperlink ref="D47" r:id="rId46" xr:uid="{00000000-0004-0000-0100-00002D000000}"/>
    <hyperlink ref="D48" r:id="rId47" xr:uid="{00000000-0004-0000-0100-00002E000000}"/>
    <hyperlink ref="D49" r:id="rId48" xr:uid="{00000000-0004-0000-0100-00002F000000}"/>
    <hyperlink ref="D50" r:id="rId49" xr:uid="{00000000-0004-0000-0100-000030000000}"/>
    <hyperlink ref="D51" r:id="rId50" xr:uid="{00000000-0004-0000-0100-000031000000}"/>
    <hyperlink ref="D52" r:id="rId51" xr:uid="{00000000-0004-0000-0100-000032000000}"/>
    <hyperlink ref="D53" r:id="rId52" xr:uid="{00000000-0004-0000-0100-000033000000}"/>
    <hyperlink ref="D54" r:id="rId53" xr:uid="{00000000-0004-0000-0100-000034000000}"/>
    <hyperlink ref="D55" r:id="rId54" xr:uid="{00000000-0004-0000-0100-000035000000}"/>
    <hyperlink ref="D56" r:id="rId55" xr:uid="{00000000-0004-0000-0100-000036000000}"/>
    <hyperlink ref="D57" r:id="rId56" xr:uid="{00000000-0004-0000-0100-000037000000}"/>
    <hyperlink ref="D58" r:id="rId57" xr:uid="{00000000-0004-0000-0100-000038000000}"/>
    <hyperlink ref="D59" r:id="rId58" xr:uid="{00000000-0004-0000-0100-000039000000}"/>
    <hyperlink ref="D60" r:id="rId59" xr:uid="{00000000-0004-0000-0100-00003A000000}"/>
    <hyperlink ref="D61" r:id="rId60" xr:uid="{00000000-0004-0000-0100-00003B000000}"/>
    <hyperlink ref="D62" r:id="rId61" xr:uid="{00000000-0004-0000-0100-00003C000000}"/>
    <hyperlink ref="D63" r:id="rId62" xr:uid="{00000000-0004-0000-0100-00003D000000}"/>
    <hyperlink ref="D64" r:id="rId63" xr:uid="{00000000-0004-0000-0100-00003E000000}"/>
    <hyperlink ref="D65" r:id="rId64" xr:uid="{00000000-0004-0000-0100-00003F000000}"/>
    <hyperlink ref="D66" r:id="rId65" xr:uid="{00000000-0004-0000-0100-000040000000}"/>
    <hyperlink ref="D67" r:id="rId66" xr:uid="{00000000-0004-0000-0100-000041000000}"/>
    <hyperlink ref="D68" r:id="rId67" xr:uid="{00000000-0004-0000-0100-000042000000}"/>
    <hyperlink ref="D69" r:id="rId68" xr:uid="{00000000-0004-0000-0100-000043000000}"/>
    <hyperlink ref="D70" r:id="rId69" xr:uid="{00000000-0004-0000-0100-000044000000}"/>
    <hyperlink ref="D71" r:id="rId70" xr:uid="{00000000-0004-0000-0100-000045000000}"/>
    <hyperlink ref="D72" r:id="rId71" xr:uid="{00000000-0004-0000-0100-000046000000}"/>
    <hyperlink ref="D73" r:id="rId72" xr:uid="{00000000-0004-0000-0100-000047000000}"/>
    <hyperlink ref="D74" r:id="rId73" xr:uid="{00000000-0004-0000-0100-000048000000}"/>
    <hyperlink ref="D75" r:id="rId74" xr:uid="{00000000-0004-0000-0100-000049000000}"/>
    <hyperlink ref="D76" r:id="rId75" xr:uid="{00000000-0004-0000-0100-00004A000000}"/>
    <hyperlink ref="D77" r:id="rId76" xr:uid="{00000000-0004-0000-0100-00004B000000}"/>
    <hyperlink ref="D78" r:id="rId77" xr:uid="{00000000-0004-0000-0100-00004C000000}"/>
    <hyperlink ref="D79" r:id="rId78" xr:uid="{00000000-0004-0000-0100-00004D000000}"/>
    <hyperlink ref="D80" r:id="rId79" xr:uid="{00000000-0004-0000-0100-00004E000000}"/>
    <hyperlink ref="D82" r:id="rId80" xr:uid="{00000000-0004-0000-0100-00004F000000}"/>
    <hyperlink ref="E82" r:id="rId81" xr:uid="{00000000-0004-0000-0100-000050000000}"/>
    <hyperlink ref="D83" r:id="rId82" xr:uid="{00000000-0004-0000-0100-000051000000}"/>
    <hyperlink ref="D84" r:id="rId83" xr:uid="{00000000-0004-0000-0100-000052000000}"/>
    <hyperlink ref="D85" r:id="rId84" xr:uid="{00000000-0004-0000-0100-000053000000}"/>
    <hyperlink ref="D86" r:id="rId85" xr:uid="{00000000-0004-0000-0100-000054000000}"/>
    <hyperlink ref="D87" r:id="rId86" xr:uid="{00000000-0004-0000-0100-000055000000}"/>
    <hyperlink ref="D88" r:id="rId87" xr:uid="{00000000-0004-0000-0100-000056000000}"/>
    <hyperlink ref="D89" r:id="rId88" xr:uid="{00000000-0004-0000-0100-000057000000}"/>
    <hyperlink ref="D90" r:id="rId89" xr:uid="{00000000-0004-0000-0100-000058000000}"/>
    <hyperlink ref="D91" r:id="rId90" xr:uid="{00000000-0004-0000-0100-000059000000}"/>
    <hyperlink ref="D92" r:id="rId91" xr:uid="{00000000-0004-0000-0100-00005A000000}"/>
    <hyperlink ref="D93" r:id="rId92" xr:uid="{00000000-0004-0000-0100-00005B000000}"/>
    <hyperlink ref="D94" r:id="rId93" xr:uid="{00000000-0004-0000-0100-00005C000000}"/>
    <hyperlink ref="D95" r:id="rId94" xr:uid="{00000000-0004-0000-0100-00005D000000}"/>
    <hyperlink ref="D96" r:id="rId95" xr:uid="{00000000-0004-0000-0100-00005E000000}"/>
    <hyperlink ref="D97" r:id="rId96" xr:uid="{00000000-0004-0000-0100-00005F000000}"/>
    <hyperlink ref="D98" r:id="rId97" xr:uid="{00000000-0004-0000-0100-000060000000}"/>
    <hyperlink ref="D99" r:id="rId98" xr:uid="{00000000-0004-0000-0100-000061000000}"/>
    <hyperlink ref="D100" r:id="rId99" xr:uid="{00000000-0004-0000-0100-000062000000}"/>
    <hyperlink ref="D101" r:id="rId100" xr:uid="{00000000-0004-0000-0100-000063000000}"/>
    <hyperlink ref="D102" r:id="rId101" xr:uid="{00000000-0004-0000-0100-000064000000}"/>
    <hyperlink ref="D103" r:id="rId102" xr:uid="{00000000-0004-0000-0100-000065000000}"/>
    <hyperlink ref="D104" r:id="rId103" xr:uid="{00000000-0004-0000-0100-000066000000}"/>
    <hyperlink ref="D105" r:id="rId104" xr:uid="{00000000-0004-0000-0100-000067000000}"/>
    <hyperlink ref="D106" r:id="rId105" xr:uid="{00000000-0004-0000-0100-000068000000}"/>
    <hyperlink ref="D107" r:id="rId106" xr:uid="{00000000-0004-0000-0100-000069000000}"/>
    <hyperlink ref="D108" r:id="rId107" xr:uid="{00000000-0004-0000-0100-00006A000000}"/>
    <hyperlink ref="D109" r:id="rId108" xr:uid="{00000000-0004-0000-0100-00006B000000}"/>
    <hyperlink ref="D110" r:id="rId109" xr:uid="{00000000-0004-0000-0100-00006C000000}"/>
    <hyperlink ref="D111" r:id="rId110" xr:uid="{00000000-0004-0000-0100-00006D000000}"/>
    <hyperlink ref="D112" r:id="rId111" xr:uid="{00000000-0004-0000-0100-00006E000000}"/>
    <hyperlink ref="D113" r:id="rId112" xr:uid="{00000000-0004-0000-0100-00006F000000}"/>
    <hyperlink ref="D114" r:id="rId113" xr:uid="{00000000-0004-0000-0100-000070000000}"/>
    <hyperlink ref="D115" r:id="rId114" xr:uid="{00000000-0004-0000-0100-000071000000}"/>
    <hyperlink ref="D116" r:id="rId115" xr:uid="{00000000-0004-0000-0100-000072000000}"/>
    <hyperlink ref="D117" r:id="rId116" xr:uid="{00000000-0004-0000-0100-000073000000}"/>
    <hyperlink ref="D118" r:id="rId117" xr:uid="{00000000-0004-0000-0100-000074000000}"/>
    <hyperlink ref="D120" r:id="rId118" xr:uid="{00000000-0004-0000-0100-000075000000}"/>
    <hyperlink ref="D121" r:id="rId119" xr:uid="{00000000-0004-0000-0100-000076000000}"/>
    <hyperlink ref="D122" r:id="rId120" xr:uid="{00000000-0004-0000-0100-000077000000}"/>
    <hyperlink ref="D123" r:id="rId121" xr:uid="{00000000-0004-0000-0100-000078000000}"/>
    <hyperlink ref="D124" r:id="rId122" xr:uid="{00000000-0004-0000-0100-000079000000}"/>
    <hyperlink ref="D125" r:id="rId123" xr:uid="{00000000-0004-0000-0100-00007A000000}"/>
    <hyperlink ref="D126" r:id="rId124" xr:uid="{00000000-0004-0000-0100-00007B000000}"/>
    <hyperlink ref="D127" r:id="rId125" xr:uid="{00000000-0004-0000-0100-00007C000000}"/>
    <hyperlink ref="D128" r:id="rId126" xr:uid="{00000000-0004-0000-0100-00007D000000}"/>
    <hyperlink ref="D129" r:id="rId127" xr:uid="{00000000-0004-0000-0100-00007E000000}"/>
    <hyperlink ref="D130" r:id="rId128" xr:uid="{00000000-0004-0000-0100-00007F000000}"/>
    <hyperlink ref="D131" r:id="rId129" xr:uid="{00000000-0004-0000-0100-000080000000}"/>
    <hyperlink ref="D132" r:id="rId130" xr:uid="{00000000-0004-0000-0100-000081000000}"/>
    <hyperlink ref="D134" r:id="rId131" xr:uid="{00000000-0004-0000-0100-000082000000}"/>
    <hyperlink ref="E134" r:id="rId132" xr:uid="{00000000-0004-0000-0100-000083000000}"/>
    <hyperlink ref="D135" r:id="rId133" xr:uid="{00000000-0004-0000-0100-000084000000}"/>
    <hyperlink ref="E135" r:id="rId134" xr:uid="{00000000-0004-0000-0100-000085000000}"/>
    <hyperlink ref="D136" r:id="rId135" xr:uid="{00000000-0004-0000-0100-000086000000}"/>
    <hyperlink ref="E136" r:id="rId136" xr:uid="{00000000-0004-0000-0100-000087000000}"/>
    <hyperlink ref="D137" r:id="rId137" xr:uid="{00000000-0004-0000-0100-000088000000}"/>
    <hyperlink ref="E137" r:id="rId138" xr:uid="{00000000-0004-0000-0100-000089000000}"/>
    <hyperlink ref="D138" r:id="rId139" xr:uid="{00000000-0004-0000-0100-00008A000000}"/>
    <hyperlink ref="D139" r:id="rId140" xr:uid="{00000000-0004-0000-0100-00008B000000}"/>
    <hyperlink ref="D140" r:id="rId141" xr:uid="{00000000-0004-0000-0100-00008C000000}"/>
    <hyperlink ref="D141" r:id="rId142" xr:uid="{00000000-0004-0000-0100-00008D000000}"/>
    <hyperlink ref="D142" r:id="rId143" xr:uid="{00000000-0004-0000-0100-00008E000000}"/>
    <hyperlink ref="D143" r:id="rId144" xr:uid="{00000000-0004-0000-0100-00008F000000}"/>
    <hyperlink ref="D144" r:id="rId145" xr:uid="{00000000-0004-0000-0100-000090000000}"/>
    <hyperlink ref="D145" r:id="rId146" xr:uid="{00000000-0004-0000-0100-000091000000}"/>
    <hyperlink ref="D146" r:id="rId147" xr:uid="{00000000-0004-0000-0100-000092000000}"/>
    <hyperlink ref="D147" r:id="rId148" xr:uid="{00000000-0004-0000-0100-000093000000}"/>
    <hyperlink ref="D148" r:id="rId149" xr:uid="{00000000-0004-0000-0100-000094000000}"/>
    <hyperlink ref="D149" r:id="rId150" xr:uid="{00000000-0004-0000-0100-000095000000}"/>
    <hyperlink ref="D150" r:id="rId151" xr:uid="{00000000-0004-0000-0100-000096000000}"/>
    <hyperlink ref="D151" r:id="rId152" xr:uid="{00000000-0004-0000-0100-000097000000}"/>
    <hyperlink ref="D152" r:id="rId153" xr:uid="{00000000-0004-0000-0100-000098000000}"/>
    <hyperlink ref="D153" r:id="rId154" xr:uid="{00000000-0004-0000-0100-000099000000}"/>
    <hyperlink ref="D154" r:id="rId155" xr:uid="{00000000-0004-0000-0100-00009A000000}"/>
    <hyperlink ref="D155" r:id="rId156" xr:uid="{00000000-0004-0000-0100-00009B000000}"/>
    <hyperlink ref="D156" r:id="rId157" xr:uid="{00000000-0004-0000-0100-00009C000000}"/>
    <hyperlink ref="D157" r:id="rId158" xr:uid="{00000000-0004-0000-0100-00009D000000}"/>
    <hyperlink ref="D158" r:id="rId159" xr:uid="{00000000-0004-0000-0100-00009E000000}"/>
    <hyperlink ref="D159" r:id="rId160" xr:uid="{00000000-0004-0000-0100-00009F000000}"/>
    <hyperlink ref="D160" r:id="rId161" xr:uid="{00000000-0004-0000-0100-0000A0000000}"/>
    <hyperlink ref="D161" r:id="rId162" xr:uid="{00000000-0004-0000-0100-0000A1000000}"/>
    <hyperlink ref="D162" r:id="rId163" xr:uid="{00000000-0004-0000-0100-0000A2000000}"/>
    <hyperlink ref="D163" r:id="rId164" xr:uid="{00000000-0004-0000-0100-0000A3000000}"/>
    <hyperlink ref="D164" r:id="rId165" xr:uid="{00000000-0004-0000-0100-0000A4000000}"/>
    <hyperlink ref="D165" r:id="rId166" xr:uid="{00000000-0004-0000-0100-0000A5000000}"/>
    <hyperlink ref="D166" r:id="rId167" xr:uid="{00000000-0004-0000-0100-0000A6000000}"/>
    <hyperlink ref="D167" r:id="rId168" xr:uid="{00000000-0004-0000-0100-0000A7000000}"/>
    <hyperlink ref="D168" r:id="rId169" xr:uid="{00000000-0004-0000-0100-0000A8000000}"/>
    <hyperlink ref="D169" r:id="rId170" xr:uid="{00000000-0004-0000-0100-0000A9000000}"/>
    <hyperlink ref="D170" r:id="rId171" xr:uid="{00000000-0004-0000-0100-0000AA000000}"/>
    <hyperlink ref="D171" r:id="rId172" xr:uid="{00000000-0004-0000-0100-0000AB000000}"/>
    <hyperlink ref="D172" r:id="rId173" xr:uid="{00000000-0004-0000-0100-0000AC000000}"/>
    <hyperlink ref="D173" r:id="rId174" xr:uid="{00000000-0004-0000-0100-0000AD000000}"/>
    <hyperlink ref="D174" r:id="rId175" xr:uid="{00000000-0004-0000-0100-0000AE000000}"/>
    <hyperlink ref="D175" r:id="rId176" xr:uid="{00000000-0004-0000-0100-0000AF000000}"/>
    <hyperlink ref="D176" r:id="rId177" xr:uid="{00000000-0004-0000-0100-0000B0000000}"/>
    <hyperlink ref="D177" r:id="rId178" xr:uid="{00000000-0004-0000-0100-0000B1000000}"/>
    <hyperlink ref="D178" r:id="rId179" xr:uid="{00000000-0004-0000-0100-0000B2000000}"/>
    <hyperlink ref="D179" r:id="rId180" xr:uid="{00000000-0004-0000-0100-0000B3000000}"/>
    <hyperlink ref="D180" r:id="rId181" xr:uid="{00000000-0004-0000-0100-0000B4000000}"/>
    <hyperlink ref="D181" r:id="rId182" xr:uid="{00000000-0004-0000-0100-0000B5000000}"/>
    <hyperlink ref="D182" r:id="rId183" xr:uid="{00000000-0004-0000-0100-0000B6000000}"/>
    <hyperlink ref="D183" r:id="rId184" xr:uid="{00000000-0004-0000-0100-0000B7000000}"/>
    <hyperlink ref="D184" r:id="rId185" xr:uid="{00000000-0004-0000-0100-0000B8000000}"/>
    <hyperlink ref="D185" r:id="rId186" xr:uid="{00000000-0004-0000-0100-0000B9000000}"/>
    <hyperlink ref="D187" r:id="rId187" xr:uid="{00000000-0004-0000-0100-0000BA000000}"/>
    <hyperlink ref="E187" r:id="rId188" xr:uid="{00000000-0004-0000-0100-0000BB000000}"/>
    <hyperlink ref="D188" r:id="rId189" xr:uid="{00000000-0004-0000-0100-0000BC000000}"/>
    <hyperlink ref="E188" r:id="rId190" xr:uid="{00000000-0004-0000-0100-0000BD000000}"/>
    <hyperlink ref="D189" r:id="rId191" xr:uid="{00000000-0004-0000-0100-0000BE000000}"/>
    <hyperlink ref="E189" r:id="rId192" xr:uid="{00000000-0004-0000-0100-0000BF000000}"/>
    <hyperlink ref="D190" r:id="rId193" xr:uid="{00000000-0004-0000-0100-0000C0000000}"/>
    <hyperlink ref="D191" r:id="rId194" xr:uid="{00000000-0004-0000-0100-0000C1000000}"/>
    <hyperlink ref="D192" r:id="rId195" xr:uid="{00000000-0004-0000-0100-0000C2000000}"/>
    <hyperlink ref="E192" r:id="rId196" xr:uid="{00000000-0004-0000-0100-0000C3000000}"/>
    <hyperlink ref="D193" r:id="rId197" xr:uid="{00000000-0004-0000-0100-0000C4000000}"/>
    <hyperlink ref="D194" r:id="rId198" xr:uid="{00000000-0004-0000-0100-0000C5000000}"/>
    <hyperlink ref="D195" r:id="rId199" xr:uid="{00000000-0004-0000-0100-0000C6000000}"/>
    <hyperlink ref="D196" r:id="rId200" xr:uid="{00000000-0004-0000-0100-0000C7000000}"/>
    <hyperlink ref="D197" r:id="rId201" xr:uid="{00000000-0004-0000-0100-0000C8000000}"/>
    <hyperlink ref="D198" r:id="rId202" xr:uid="{00000000-0004-0000-0100-0000C9000000}"/>
    <hyperlink ref="D199" r:id="rId203" xr:uid="{00000000-0004-0000-0100-0000CA000000}"/>
    <hyperlink ref="D200" r:id="rId204" xr:uid="{00000000-0004-0000-0100-0000CB000000}"/>
    <hyperlink ref="D201" r:id="rId205" xr:uid="{00000000-0004-0000-0100-0000CC000000}"/>
    <hyperlink ref="D202" r:id="rId206" xr:uid="{00000000-0004-0000-0100-0000CD000000}"/>
    <hyperlink ref="D203" r:id="rId207" xr:uid="{00000000-0004-0000-0100-0000CE000000}"/>
    <hyperlink ref="D204" r:id="rId208" xr:uid="{00000000-0004-0000-0100-0000CF000000}"/>
    <hyperlink ref="D205" r:id="rId209" xr:uid="{00000000-0004-0000-0100-0000D0000000}"/>
    <hyperlink ref="D206" r:id="rId210" xr:uid="{00000000-0004-0000-0100-0000D1000000}"/>
    <hyperlink ref="D207" r:id="rId211" xr:uid="{00000000-0004-0000-0100-0000D2000000}"/>
    <hyperlink ref="D208" r:id="rId212" xr:uid="{00000000-0004-0000-0100-0000D3000000}"/>
    <hyperlink ref="D209" r:id="rId213" xr:uid="{00000000-0004-0000-0100-0000D4000000}"/>
    <hyperlink ref="D210" r:id="rId214" xr:uid="{00000000-0004-0000-0100-0000D5000000}"/>
    <hyperlink ref="D211" r:id="rId215" xr:uid="{00000000-0004-0000-0100-0000D6000000}"/>
    <hyperlink ref="D212" r:id="rId216" xr:uid="{00000000-0004-0000-0100-0000D7000000}"/>
    <hyperlink ref="D213" r:id="rId217" xr:uid="{00000000-0004-0000-0100-0000D8000000}"/>
    <hyperlink ref="D214" r:id="rId218" xr:uid="{00000000-0004-0000-0100-0000D9000000}"/>
    <hyperlink ref="D215" r:id="rId219" xr:uid="{00000000-0004-0000-0100-0000DA000000}"/>
    <hyperlink ref="D216" r:id="rId220" xr:uid="{00000000-0004-0000-0100-0000DB000000}"/>
    <hyperlink ref="D217" r:id="rId221" xr:uid="{00000000-0004-0000-0100-0000DC000000}"/>
    <hyperlink ref="D218" r:id="rId222" xr:uid="{00000000-0004-0000-0100-0000DD000000}"/>
    <hyperlink ref="D219" r:id="rId223" xr:uid="{00000000-0004-0000-0100-0000DE000000}"/>
    <hyperlink ref="D220" r:id="rId224" xr:uid="{00000000-0004-0000-0100-0000DF000000}"/>
    <hyperlink ref="D221" r:id="rId225" xr:uid="{00000000-0004-0000-0100-0000E0000000}"/>
    <hyperlink ref="D222" r:id="rId226" xr:uid="{00000000-0004-0000-0100-0000E1000000}"/>
    <hyperlink ref="D223" r:id="rId227" xr:uid="{00000000-0004-0000-0100-0000E2000000}"/>
    <hyperlink ref="D224" r:id="rId228" xr:uid="{00000000-0004-0000-0100-0000E3000000}"/>
    <hyperlink ref="D225" r:id="rId229" xr:uid="{00000000-0004-0000-0100-0000E4000000}"/>
    <hyperlink ref="D226" r:id="rId230" xr:uid="{00000000-0004-0000-0100-0000E5000000}"/>
    <hyperlink ref="D227" r:id="rId231" xr:uid="{00000000-0004-0000-0100-0000E6000000}"/>
    <hyperlink ref="D228" r:id="rId232" xr:uid="{00000000-0004-0000-0100-0000E7000000}"/>
    <hyperlink ref="D229" r:id="rId233" xr:uid="{00000000-0004-0000-0100-0000E8000000}"/>
    <hyperlink ref="D230" r:id="rId234" xr:uid="{00000000-0004-0000-0100-0000E9000000}"/>
    <hyperlink ref="D231" r:id="rId235" xr:uid="{00000000-0004-0000-0100-0000EA000000}"/>
    <hyperlink ref="D232" r:id="rId236" xr:uid="{00000000-0004-0000-0100-0000EB000000}"/>
    <hyperlink ref="D233" r:id="rId237" xr:uid="{00000000-0004-0000-0100-0000EC000000}"/>
    <hyperlink ref="D234" r:id="rId238" xr:uid="{00000000-0004-0000-0100-0000ED000000}"/>
    <hyperlink ref="D235" r:id="rId239" xr:uid="{00000000-0004-0000-0100-0000EE000000}"/>
    <hyperlink ref="D236" r:id="rId240" xr:uid="{00000000-0004-0000-0100-0000EF000000}"/>
    <hyperlink ref="D237" r:id="rId241" xr:uid="{00000000-0004-0000-0100-0000F0000000}"/>
    <hyperlink ref="D238" r:id="rId242" xr:uid="{00000000-0004-0000-0100-0000F1000000}"/>
    <hyperlink ref="D239" r:id="rId243" xr:uid="{00000000-0004-0000-0100-0000F2000000}"/>
    <hyperlink ref="D241" r:id="rId244" xr:uid="{00000000-0004-0000-0100-0000F3000000}"/>
    <hyperlink ref="E241" r:id="rId245" xr:uid="{00000000-0004-0000-0100-0000F4000000}"/>
    <hyperlink ref="D242" r:id="rId246" xr:uid="{00000000-0004-0000-0100-0000F5000000}"/>
    <hyperlink ref="E242" r:id="rId247" xr:uid="{00000000-0004-0000-0100-0000F6000000}"/>
    <hyperlink ref="D243" r:id="rId248" xr:uid="{00000000-0004-0000-0100-0000F7000000}"/>
    <hyperlink ref="E243" r:id="rId249" xr:uid="{00000000-0004-0000-0100-0000F8000000}"/>
    <hyperlink ref="D244" r:id="rId250" xr:uid="{00000000-0004-0000-0100-0000F9000000}"/>
    <hyperlink ref="D245" r:id="rId251" xr:uid="{00000000-0004-0000-0100-0000FA000000}"/>
    <hyperlink ref="D246" r:id="rId252" xr:uid="{00000000-0004-0000-0100-0000FB000000}"/>
    <hyperlink ref="E246" r:id="rId253" xr:uid="{00000000-0004-0000-0100-0000FC000000}"/>
    <hyperlink ref="D247" r:id="rId254" xr:uid="{00000000-0004-0000-0100-0000FD000000}"/>
    <hyperlink ref="D248" r:id="rId255" xr:uid="{00000000-0004-0000-0100-0000FE000000}"/>
    <hyperlink ref="D249" r:id="rId256" xr:uid="{00000000-0004-0000-0100-0000FF000000}"/>
    <hyperlink ref="D250" r:id="rId257" xr:uid="{00000000-0004-0000-0100-000000010000}"/>
    <hyperlink ref="D251" r:id="rId258" xr:uid="{00000000-0004-0000-0100-000001010000}"/>
    <hyperlink ref="D252" r:id="rId259" xr:uid="{00000000-0004-0000-0100-000002010000}"/>
    <hyperlink ref="D253" r:id="rId260" xr:uid="{00000000-0004-0000-0100-000003010000}"/>
    <hyperlink ref="D254" r:id="rId261" xr:uid="{00000000-0004-0000-0100-000004010000}"/>
    <hyperlink ref="D255" r:id="rId262" xr:uid="{00000000-0004-0000-0100-000005010000}"/>
    <hyperlink ref="D256" r:id="rId263" xr:uid="{00000000-0004-0000-0100-000006010000}"/>
    <hyperlink ref="D257" r:id="rId264" xr:uid="{00000000-0004-0000-0100-000007010000}"/>
    <hyperlink ref="D258" r:id="rId265" xr:uid="{00000000-0004-0000-0100-000008010000}"/>
    <hyperlink ref="D259" r:id="rId266" xr:uid="{00000000-0004-0000-0100-000009010000}"/>
    <hyperlink ref="D260" r:id="rId267" xr:uid="{00000000-0004-0000-0100-00000A010000}"/>
    <hyperlink ref="D261" r:id="rId268" xr:uid="{00000000-0004-0000-0100-00000B010000}"/>
    <hyperlink ref="D262" r:id="rId269" xr:uid="{00000000-0004-0000-0100-00000C010000}"/>
    <hyperlink ref="D263" r:id="rId270" xr:uid="{00000000-0004-0000-0100-00000D010000}"/>
    <hyperlink ref="D264" r:id="rId271" xr:uid="{00000000-0004-0000-0100-00000E010000}"/>
    <hyperlink ref="D265" r:id="rId272" xr:uid="{00000000-0004-0000-0100-00000F010000}"/>
    <hyperlink ref="D266" r:id="rId273" xr:uid="{00000000-0004-0000-0100-000010010000}"/>
    <hyperlink ref="D267" r:id="rId274" xr:uid="{00000000-0004-0000-0100-000011010000}"/>
    <hyperlink ref="D268" r:id="rId275" xr:uid="{00000000-0004-0000-0100-000012010000}"/>
    <hyperlink ref="D269" r:id="rId276" xr:uid="{00000000-0004-0000-0100-000013010000}"/>
    <hyperlink ref="D270" r:id="rId277" xr:uid="{00000000-0004-0000-0100-000014010000}"/>
    <hyperlink ref="D271" r:id="rId278" xr:uid="{00000000-0004-0000-0100-000015010000}"/>
    <hyperlink ref="D272" r:id="rId279" xr:uid="{00000000-0004-0000-0100-000016010000}"/>
    <hyperlink ref="D273" r:id="rId280" xr:uid="{00000000-0004-0000-0100-000017010000}"/>
    <hyperlink ref="D274" r:id="rId281" xr:uid="{00000000-0004-0000-0100-000018010000}"/>
    <hyperlink ref="D275" r:id="rId282" xr:uid="{00000000-0004-0000-0100-000019010000}"/>
    <hyperlink ref="D276" r:id="rId283" xr:uid="{00000000-0004-0000-0100-00001A010000}"/>
    <hyperlink ref="D277" r:id="rId284" xr:uid="{00000000-0004-0000-0100-00001B010000}"/>
    <hyperlink ref="D278" r:id="rId285" xr:uid="{00000000-0004-0000-0100-00001C010000}"/>
    <hyperlink ref="D279" r:id="rId286" xr:uid="{00000000-0004-0000-0100-00001D010000}"/>
    <hyperlink ref="D280" r:id="rId287" xr:uid="{00000000-0004-0000-0100-00001E010000}"/>
    <hyperlink ref="D281" r:id="rId288" xr:uid="{00000000-0004-0000-0100-00001F010000}"/>
    <hyperlink ref="D282" r:id="rId289" xr:uid="{00000000-0004-0000-0100-000020010000}"/>
    <hyperlink ref="D283" r:id="rId290" xr:uid="{00000000-0004-0000-0100-000021010000}"/>
    <hyperlink ref="D284" r:id="rId291" xr:uid="{00000000-0004-0000-0100-000022010000}"/>
    <hyperlink ref="D285" r:id="rId292" xr:uid="{00000000-0004-0000-0100-000023010000}"/>
    <hyperlink ref="D286" r:id="rId293" xr:uid="{00000000-0004-0000-0100-000024010000}"/>
    <hyperlink ref="D287" r:id="rId294" xr:uid="{00000000-0004-0000-0100-000025010000}"/>
    <hyperlink ref="D288" r:id="rId295" xr:uid="{00000000-0004-0000-0100-000026010000}"/>
    <hyperlink ref="D289" r:id="rId296" xr:uid="{00000000-0004-0000-0100-000027010000}"/>
    <hyperlink ref="D290" r:id="rId297" xr:uid="{00000000-0004-0000-0100-000028010000}"/>
    <hyperlink ref="D291" r:id="rId298" xr:uid="{00000000-0004-0000-0100-000029010000}"/>
    <hyperlink ref="D292" r:id="rId299" xr:uid="{00000000-0004-0000-0100-00002A010000}"/>
    <hyperlink ref="D293" r:id="rId300" xr:uid="{00000000-0004-0000-0100-00002B010000}"/>
    <hyperlink ref="D295" r:id="rId301" xr:uid="{00000000-0004-0000-0100-00002C010000}"/>
    <hyperlink ref="D296" r:id="rId302" xr:uid="{00000000-0004-0000-0100-00002D010000}"/>
    <hyperlink ref="D297" r:id="rId303" xr:uid="{00000000-0004-0000-0100-00002E010000}"/>
    <hyperlink ref="D298" r:id="rId304" xr:uid="{00000000-0004-0000-0100-00002F010000}"/>
    <hyperlink ref="D299" r:id="rId305" xr:uid="{00000000-0004-0000-0100-000030010000}"/>
    <hyperlink ref="D300" r:id="rId306" xr:uid="{00000000-0004-0000-0100-000031010000}"/>
    <hyperlink ref="D301" r:id="rId307" xr:uid="{00000000-0004-0000-0100-000032010000}"/>
    <hyperlink ref="D302" r:id="rId308" xr:uid="{00000000-0004-0000-0100-000033010000}"/>
    <hyperlink ref="D303" r:id="rId309" xr:uid="{00000000-0004-0000-0100-000034010000}"/>
    <hyperlink ref="D304" r:id="rId310" xr:uid="{00000000-0004-0000-0100-000035010000}"/>
    <hyperlink ref="D305" r:id="rId311" xr:uid="{00000000-0004-0000-0100-000036010000}"/>
    <hyperlink ref="D306" r:id="rId312" xr:uid="{00000000-0004-0000-0100-000037010000}"/>
    <hyperlink ref="D308" r:id="rId313" xr:uid="{00000000-0004-0000-0100-000038010000}"/>
    <hyperlink ref="D309" r:id="rId314" xr:uid="{00000000-0004-0000-0100-000039010000}"/>
    <hyperlink ref="D310" r:id="rId315" xr:uid="{00000000-0004-0000-0100-00003A010000}"/>
    <hyperlink ref="D311" r:id="rId316" xr:uid="{00000000-0004-0000-0100-00003B010000}"/>
    <hyperlink ref="D312" r:id="rId317" xr:uid="{00000000-0004-0000-0100-00003C010000}"/>
    <hyperlink ref="D313" r:id="rId318" xr:uid="{00000000-0004-0000-0100-00003D010000}"/>
    <hyperlink ref="D314" r:id="rId319" xr:uid="{00000000-0004-0000-0100-00003E010000}"/>
    <hyperlink ref="D315" r:id="rId320" xr:uid="{00000000-0004-0000-0100-00003F010000}"/>
    <hyperlink ref="D318" r:id="rId321" xr:uid="{00000000-0004-0000-0100-000040010000}"/>
    <hyperlink ref="E318" r:id="rId322" xr:uid="{00000000-0004-0000-0100-000041010000}"/>
    <hyperlink ref="D319" r:id="rId323" xr:uid="{00000000-0004-0000-0100-000042010000}"/>
    <hyperlink ref="D320" r:id="rId324" xr:uid="{00000000-0004-0000-0100-000043010000}"/>
    <hyperlink ref="D321" r:id="rId325" xr:uid="{00000000-0004-0000-0100-000044010000}"/>
    <hyperlink ref="E321" r:id="rId326" xr:uid="{00000000-0004-0000-0100-000045010000}"/>
    <hyperlink ref="D322" r:id="rId327" xr:uid="{00000000-0004-0000-0100-000046010000}"/>
    <hyperlink ref="D323" r:id="rId328" xr:uid="{00000000-0004-0000-0100-000047010000}"/>
    <hyperlink ref="D324" r:id="rId329" xr:uid="{00000000-0004-0000-0100-000048010000}"/>
    <hyperlink ref="D325" r:id="rId330" xr:uid="{00000000-0004-0000-0100-000049010000}"/>
    <hyperlink ref="D326" r:id="rId331" xr:uid="{00000000-0004-0000-0100-00004A010000}"/>
    <hyperlink ref="D327" r:id="rId332" xr:uid="{00000000-0004-0000-0100-00004B010000}"/>
    <hyperlink ref="D328" r:id="rId333" xr:uid="{00000000-0004-0000-0100-00004C010000}"/>
    <hyperlink ref="D329" r:id="rId334" xr:uid="{00000000-0004-0000-0100-00004D010000}"/>
    <hyperlink ref="D330" r:id="rId335" xr:uid="{00000000-0004-0000-0100-00004E010000}"/>
    <hyperlink ref="D331" r:id="rId336" xr:uid="{00000000-0004-0000-0100-00004F010000}"/>
    <hyperlink ref="D332" r:id="rId337" xr:uid="{00000000-0004-0000-0100-000050010000}"/>
    <hyperlink ref="D333" r:id="rId338" xr:uid="{00000000-0004-0000-0100-000051010000}"/>
    <hyperlink ref="D334" r:id="rId339" xr:uid="{00000000-0004-0000-0100-000052010000}"/>
    <hyperlink ref="D335" r:id="rId340" xr:uid="{00000000-0004-0000-0100-000053010000}"/>
    <hyperlink ref="D336" r:id="rId341" xr:uid="{00000000-0004-0000-0100-000054010000}"/>
    <hyperlink ref="D337" r:id="rId342" xr:uid="{00000000-0004-0000-0100-000055010000}"/>
    <hyperlink ref="D338" r:id="rId343" xr:uid="{00000000-0004-0000-0100-000056010000}"/>
    <hyperlink ref="D339" r:id="rId344" xr:uid="{00000000-0004-0000-0100-000057010000}"/>
    <hyperlink ref="D340" r:id="rId345" xr:uid="{00000000-0004-0000-0100-000058010000}"/>
    <hyperlink ref="D341" r:id="rId346" xr:uid="{00000000-0004-0000-0100-000059010000}"/>
    <hyperlink ref="D342" r:id="rId347" xr:uid="{00000000-0004-0000-0100-00005A010000}"/>
    <hyperlink ref="D343" r:id="rId348" xr:uid="{00000000-0004-0000-0100-00005B010000}"/>
    <hyperlink ref="D344" r:id="rId349" xr:uid="{00000000-0004-0000-0100-00005C010000}"/>
    <hyperlink ref="D345" r:id="rId350" xr:uid="{00000000-0004-0000-0100-00005D010000}"/>
    <hyperlink ref="D346" r:id="rId351" xr:uid="{00000000-0004-0000-0100-00005E010000}"/>
    <hyperlink ref="D347" r:id="rId352" xr:uid="{00000000-0004-0000-0100-00005F010000}"/>
    <hyperlink ref="D348" r:id="rId353" xr:uid="{00000000-0004-0000-0100-000060010000}"/>
    <hyperlink ref="D349" r:id="rId354" xr:uid="{00000000-0004-0000-0100-000061010000}"/>
    <hyperlink ref="D351" r:id="rId355" xr:uid="{00000000-0004-0000-0100-000062010000}"/>
    <hyperlink ref="D353" r:id="rId356" xr:uid="{00000000-0004-0000-0100-000063010000}"/>
    <hyperlink ref="D354" r:id="rId357" xr:uid="{00000000-0004-0000-0100-000064010000}"/>
    <hyperlink ref="E354" r:id="rId358" xr:uid="{00000000-0004-0000-0100-000065010000}"/>
    <hyperlink ref="D355" r:id="rId359" xr:uid="{00000000-0004-0000-0100-000066010000}"/>
    <hyperlink ref="E355" r:id="rId360" xr:uid="{00000000-0004-0000-0100-000067010000}"/>
    <hyperlink ref="D356" r:id="rId361" xr:uid="{00000000-0004-0000-0100-000068010000}"/>
    <hyperlink ref="D357" r:id="rId362" xr:uid="{00000000-0004-0000-0100-000069010000}"/>
    <hyperlink ref="D358" r:id="rId363" xr:uid="{00000000-0004-0000-0100-00006A010000}"/>
    <hyperlink ref="D359" r:id="rId364" xr:uid="{00000000-0004-0000-0100-00006B010000}"/>
    <hyperlink ref="D360" r:id="rId365" xr:uid="{00000000-0004-0000-0100-00006C010000}"/>
    <hyperlink ref="D361" r:id="rId366" xr:uid="{00000000-0004-0000-0100-00006D010000}"/>
    <hyperlink ref="D362" r:id="rId367" xr:uid="{00000000-0004-0000-0100-00006E010000}"/>
    <hyperlink ref="D363" r:id="rId368" xr:uid="{00000000-0004-0000-0100-00006F010000}"/>
    <hyperlink ref="E363" r:id="rId369" xr:uid="{00000000-0004-0000-0100-000070010000}"/>
    <hyperlink ref="D364" r:id="rId370" xr:uid="{00000000-0004-0000-0100-000071010000}"/>
    <hyperlink ref="D365" r:id="rId371" xr:uid="{00000000-0004-0000-0100-000072010000}"/>
    <hyperlink ref="D366" r:id="rId372" xr:uid="{00000000-0004-0000-0100-000073010000}"/>
    <hyperlink ref="D367" r:id="rId373" xr:uid="{00000000-0004-0000-0100-000074010000}"/>
    <hyperlink ref="D368" r:id="rId374" xr:uid="{00000000-0004-0000-0100-000075010000}"/>
    <hyperlink ref="D369" r:id="rId375" xr:uid="{00000000-0004-0000-0100-000076010000}"/>
    <hyperlink ref="D370" r:id="rId376" xr:uid="{00000000-0004-0000-0100-000077010000}"/>
    <hyperlink ref="D371" r:id="rId377" xr:uid="{00000000-0004-0000-0100-000078010000}"/>
    <hyperlink ref="D372" r:id="rId378" xr:uid="{00000000-0004-0000-0100-000079010000}"/>
    <hyperlink ref="D373" r:id="rId379" xr:uid="{00000000-0004-0000-0100-00007A010000}"/>
    <hyperlink ref="D374" r:id="rId380" xr:uid="{00000000-0004-0000-0100-00007B010000}"/>
    <hyperlink ref="D375" r:id="rId381" xr:uid="{00000000-0004-0000-0100-00007C010000}"/>
    <hyperlink ref="D376" r:id="rId382" xr:uid="{00000000-0004-0000-0100-00007D010000}"/>
    <hyperlink ref="D377" r:id="rId383" xr:uid="{00000000-0004-0000-0100-00007E010000}"/>
    <hyperlink ref="D378" r:id="rId384" xr:uid="{00000000-0004-0000-0100-00007F010000}"/>
    <hyperlink ref="D379" r:id="rId385" xr:uid="{00000000-0004-0000-0100-000080010000}"/>
    <hyperlink ref="D380" r:id="rId386" xr:uid="{00000000-0004-0000-0100-000081010000}"/>
    <hyperlink ref="D381" r:id="rId387" xr:uid="{00000000-0004-0000-0100-000082010000}"/>
    <hyperlink ref="D382" r:id="rId388" xr:uid="{00000000-0004-0000-0100-000083010000}"/>
    <hyperlink ref="D383" r:id="rId389" xr:uid="{00000000-0004-0000-0100-000084010000}"/>
    <hyperlink ref="D384" r:id="rId390" xr:uid="{00000000-0004-0000-0100-000085010000}"/>
    <hyperlink ref="D385" r:id="rId391" xr:uid="{00000000-0004-0000-0100-000086010000}"/>
    <hyperlink ref="D386" r:id="rId392" xr:uid="{00000000-0004-0000-0100-000087010000}"/>
    <hyperlink ref="D387" r:id="rId393" xr:uid="{00000000-0004-0000-0100-000088010000}"/>
    <hyperlink ref="D388" r:id="rId394" xr:uid="{00000000-0004-0000-0100-000089010000}"/>
    <hyperlink ref="D389" r:id="rId395" xr:uid="{00000000-0004-0000-0100-00008A010000}"/>
    <hyperlink ref="D390" r:id="rId396" xr:uid="{00000000-0004-0000-0100-00008B010000}"/>
    <hyperlink ref="D391" r:id="rId397" xr:uid="{00000000-0004-0000-0100-00008C010000}"/>
    <hyperlink ref="D392" r:id="rId398" xr:uid="{00000000-0004-0000-0100-00008D010000}"/>
    <hyperlink ref="D393" r:id="rId399" xr:uid="{00000000-0004-0000-0100-00008E010000}"/>
    <hyperlink ref="D394" r:id="rId400" xr:uid="{00000000-0004-0000-0100-00008F010000}"/>
    <hyperlink ref="D395" r:id="rId401" xr:uid="{00000000-0004-0000-0100-000090010000}"/>
    <hyperlink ref="D396" r:id="rId402" xr:uid="{00000000-0004-0000-0100-000091010000}"/>
    <hyperlink ref="D397" r:id="rId403" xr:uid="{00000000-0004-0000-0100-000092010000}"/>
    <hyperlink ref="D398" r:id="rId404" xr:uid="{00000000-0004-0000-0100-000093010000}"/>
    <hyperlink ref="D399" r:id="rId405" xr:uid="{00000000-0004-0000-0100-000094010000}"/>
    <hyperlink ref="D400" r:id="rId406" xr:uid="{00000000-0004-0000-0100-000095010000}"/>
    <hyperlink ref="D401" r:id="rId407" xr:uid="{00000000-0004-0000-0100-000096010000}"/>
    <hyperlink ref="D402" r:id="rId408" xr:uid="{00000000-0004-0000-0100-000097010000}"/>
    <hyperlink ref="D403" r:id="rId409" xr:uid="{00000000-0004-0000-0100-000098010000}"/>
    <hyperlink ref="D404" r:id="rId410" xr:uid="{00000000-0004-0000-0100-000099010000}"/>
    <hyperlink ref="D405" r:id="rId411" xr:uid="{00000000-0004-0000-0100-00009A010000}"/>
    <hyperlink ref="D406" r:id="rId412" xr:uid="{00000000-0004-0000-0100-00009B010000}"/>
    <hyperlink ref="D407" r:id="rId413" xr:uid="{00000000-0004-0000-0100-00009C010000}"/>
    <hyperlink ref="D408" r:id="rId414" xr:uid="{00000000-0004-0000-0100-00009D010000}"/>
    <hyperlink ref="D409" r:id="rId415" xr:uid="{00000000-0004-0000-0100-00009E010000}"/>
    <hyperlink ref="D410" r:id="rId416" xr:uid="{00000000-0004-0000-0100-00009F010000}"/>
    <hyperlink ref="D411" r:id="rId417" xr:uid="{00000000-0004-0000-0100-0000A0010000}"/>
    <hyperlink ref="D412" r:id="rId418" xr:uid="{00000000-0004-0000-0100-0000A1010000}"/>
    <hyperlink ref="D413" r:id="rId419" xr:uid="{00000000-0004-0000-0100-0000A2010000}"/>
    <hyperlink ref="D414" r:id="rId420" xr:uid="{00000000-0004-0000-0100-0000A3010000}"/>
    <hyperlink ref="D415" r:id="rId421" xr:uid="{00000000-0004-0000-0100-0000A4010000}"/>
    <hyperlink ref="D416" r:id="rId422" xr:uid="{00000000-0004-0000-0100-0000A5010000}"/>
    <hyperlink ref="D417" r:id="rId423" xr:uid="{00000000-0004-0000-0100-0000A6010000}"/>
    <hyperlink ref="D418" r:id="rId424" xr:uid="{00000000-0004-0000-0100-0000A7010000}"/>
    <hyperlink ref="D419" r:id="rId425" xr:uid="{00000000-0004-0000-0100-0000A8010000}"/>
    <hyperlink ref="D420" r:id="rId426" xr:uid="{00000000-0004-0000-0100-0000A9010000}"/>
    <hyperlink ref="D421" r:id="rId427" xr:uid="{00000000-0004-0000-0100-0000AA010000}"/>
    <hyperlink ref="D422" r:id="rId428" xr:uid="{00000000-0004-0000-0100-0000AB010000}"/>
    <hyperlink ref="D423" r:id="rId429" xr:uid="{00000000-0004-0000-0100-0000AC010000}"/>
    <hyperlink ref="D424" r:id="rId430" xr:uid="{00000000-0004-0000-0100-0000AD010000}"/>
    <hyperlink ref="D425" r:id="rId431" xr:uid="{00000000-0004-0000-0100-0000AE010000}"/>
    <hyperlink ref="D426" r:id="rId432" xr:uid="{00000000-0004-0000-0100-0000AF010000}"/>
    <hyperlink ref="D427" r:id="rId433" xr:uid="{00000000-0004-0000-0100-0000B0010000}"/>
    <hyperlink ref="D428" r:id="rId434" xr:uid="{00000000-0004-0000-0100-0000B1010000}"/>
    <hyperlink ref="D429" r:id="rId435" xr:uid="{00000000-0004-0000-0100-0000B2010000}"/>
    <hyperlink ref="D430" r:id="rId436" xr:uid="{00000000-0004-0000-0100-0000B3010000}"/>
    <hyperlink ref="D431" r:id="rId437" xr:uid="{00000000-0004-0000-0100-0000B4010000}"/>
    <hyperlink ref="D432" r:id="rId438" xr:uid="{00000000-0004-0000-0100-0000B5010000}"/>
    <hyperlink ref="D433" r:id="rId439" xr:uid="{00000000-0004-0000-0100-0000B6010000}"/>
    <hyperlink ref="D434" r:id="rId440" xr:uid="{00000000-0004-0000-0100-0000B7010000}"/>
    <hyperlink ref="D435" r:id="rId441" xr:uid="{00000000-0004-0000-0100-0000B8010000}"/>
    <hyperlink ref="D436" r:id="rId442" xr:uid="{00000000-0004-0000-0100-0000B9010000}"/>
    <hyperlink ref="D437" r:id="rId443" xr:uid="{00000000-0004-0000-0100-0000BA010000}"/>
    <hyperlink ref="D438" r:id="rId444" xr:uid="{00000000-0004-0000-0100-0000BB010000}"/>
    <hyperlink ref="D439" r:id="rId445" xr:uid="{00000000-0004-0000-0100-0000BC010000}"/>
    <hyperlink ref="D440" r:id="rId446" xr:uid="{00000000-0004-0000-0100-0000BD010000}"/>
    <hyperlink ref="D441" r:id="rId447" xr:uid="{00000000-0004-0000-0100-0000BE010000}"/>
    <hyperlink ref="D442" r:id="rId448" xr:uid="{00000000-0004-0000-0100-0000BF010000}"/>
    <hyperlink ref="D443" r:id="rId449" xr:uid="{00000000-0004-0000-0100-0000C0010000}"/>
    <hyperlink ref="D444" r:id="rId450" xr:uid="{00000000-0004-0000-0100-0000C1010000}"/>
    <hyperlink ref="D445" r:id="rId451" xr:uid="{00000000-0004-0000-0100-0000C2010000}"/>
    <hyperlink ref="D446" r:id="rId452" xr:uid="{00000000-0004-0000-0100-0000C3010000}"/>
    <hyperlink ref="D447" r:id="rId453" xr:uid="{00000000-0004-0000-0100-0000C4010000}"/>
    <hyperlink ref="D448" r:id="rId454" xr:uid="{00000000-0004-0000-0100-0000C5010000}"/>
    <hyperlink ref="D449" r:id="rId455" xr:uid="{00000000-0004-0000-0100-0000C6010000}"/>
    <hyperlink ref="D450" r:id="rId456" xr:uid="{00000000-0004-0000-0100-0000C7010000}"/>
    <hyperlink ref="D451" r:id="rId457" xr:uid="{00000000-0004-0000-0100-0000C8010000}"/>
    <hyperlink ref="D452" r:id="rId458" xr:uid="{00000000-0004-0000-0100-0000C9010000}"/>
    <hyperlink ref="D453" r:id="rId459" xr:uid="{00000000-0004-0000-0100-0000CA010000}"/>
    <hyperlink ref="D454" r:id="rId460" xr:uid="{00000000-0004-0000-0100-0000CB010000}"/>
    <hyperlink ref="D455" r:id="rId461" xr:uid="{00000000-0004-0000-0100-0000CC010000}"/>
    <hyperlink ref="D456" r:id="rId462" xr:uid="{00000000-0004-0000-0100-0000CD010000}"/>
    <hyperlink ref="D457" r:id="rId463" xr:uid="{00000000-0004-0000-0100-0000CE010000}"/>
    <hyperlink ref="D458" r:id="rId464" xr:uid="{00000000-0004-0000-0100-0000CF010000}"/>
    <hyperlink ref="D459" r:id="rId465" xr:uid="{00000000-0004-0000-0100-0000D0010000}"/>
    <hyperlink ref="D460" r:id="rId466" xr:uid="{00000000-0004-0000-0100-0000D1010000}"/>
    <hyperlink ref="D461" r:id="rId467" xr:uid="{00000000-0004-0000-0100-0000D2010000}"/>
    <hyperlink ref="D462" r:id="rId468" xr:uid="{00000000-0004-0000-0100-0000D3010000}"/>
    <hyperlink ref="D463" r:id="rId469" xr:uid="{00000000-0004-0000-0100-0000D4010000}"/>
    <hyperlink ref="D464" r:id="rId470" xr:uid="{00000000-0004-0000-0100-0000D5010000}"/>
    <hyperlink ref="D465" r:id="rId471" xr:uid="{00000000-0004-0000-0100-0000D6010000}"/>
    <hyperlink ref="D466" r:id="rId472" xr:uid="{00000000-0004-0000-0100-0000D7010000}"/>
    <hyperlink ref="D468" r:id="rId473" xr:uid="{00000000-0004-0000-0100-0000D8010000}"/>
    <hyperlink ref="D469" r:id="rId474" xr:uid="{00000000-0004-0000-0100-0000D9010000}"/>
    <hyperlink ref="D470" r:id="rId475" xr:uid="{00000000-0004-0000-0100-0000DA010000}"/>
    <hyperlink ref="D471" r:id="rId476" xr:uid="{00000000-0004-0000-0100-0000DB010000}"/>
    <hyperlink ref="D473" r:id="rId477" xr:uid="{00000000-0004-0000-0100-0000DC010000}"/>
    <hyperlink ref="D474" r:id="rId478" xr:uid="{00000000-0004-0000-0100-0000DD010000}"/>
    <hyperlink ref="E474" r:id="rId479" xr:uid="{00000000-0004-0000-0100-0000DE010000}"/>
    <hyperlink ref="D475" r:id="rId480" xr:uid="{00000000-0004-0000-0100-0000DF010000}"/>
    <hyperlink ref="D476" r:id="rId481" xr:uid="{00000000-0004-0000-0100-0000E0010000}"/>
    <hyperlink ref="D477" r:id="rId482" xr:uid="{00000000-0004-0000-0100-0000E1010000}"/>
    <hyperlink ref="D478" r:id="rId483" xr:uid="{00000000-0004-0000-0100-0000E2010000}"/>
    <hyperlink ref="D479" r:id="rId484" xr:uid="{00000000-0004-0000-0100-0000E3010000}"/>
    <hyperlink ref="D480" r:id="rId485" xr:uid="{00000000-0004-0000-0100-0000E4010000}"/>
    <hyperlink ref="D481" r:id="rId486" xr:uid="{00000000-0004-0000-0100-0000E5010000}"/>
    <hyperlink ref="D482" r:id="rId487" xr:uid="{00000000-0004-0000-0100-0000E6010000}"/>
    <hyperlink ref="D483" r:id="rId488" xr:uid="{00000000-0004-0000-0100-0000E7010000}"/>
    <hyperlink ref="D484" r:id="rId489" xr:uid="{00000000-0004-0000-0100-0000E8010000}"/>
    <hyperlink ref="D485" r:id="rId490" xr:uid="{00000000-0004-0000-0100-0000E9010000}"/>
    <hyperlink ref="D486" r:id="rId491" xr:uid="{00000000-0004-0000-0100-0000EA010000}"/>
    <hyperlink ref="D487" r:id="rId492" xr:uid="{00000000-0004-0000-0100-0000EB010000}"/>
    <hyperlink ref="D488" r:id="rId493" xr:uid="{00000000-0004-0000-0100-0000EC010000}"/>
    <hyperlink ref="D489" r:id="rId494" xr:uid="{00000000-0004-0000-0100-0000ED010000}"/>
    <hyperlink ref="D490" r:id="rId495" xr:uid="{00000000-0004-0000-0100-0000EE010000}"/>
    <hyperlink ref="D491" r:id="rId496" xr:uid="{00000000-0004-0000-0100-0000EF010000}"/>
    <hyperlink ref="D492" r:id="rId497" xr:uid="{00000000-0004-0000-0100-0000F0010000}"/>
    <hyperlink ref="D493" r:id="rId498" xr:uid="{00000000-0004-0000-0100-0000F1010000}"/>
    <hyperlink ref="D494" r:id="rId499" xr:uid="{00000000-0004-0000-0100-0000F2010000}"/>
    <hyperlink ref="D495" r:id="rId500" xr:uid="{00000000-0004-0000-0100-0000F3010000}"/>
    <hyperlink ref="D496" r:id="rId501" xr:uid="{00000000-0004-0000-0100-0000F4010000}"/>
    <hyperlink ref="D497" r:id="rId502" xr:uid="{00000000-0004-0000-0100-0000F5010000}"/>
    <hyperlink ref="D498" r:id="rId503" xr:uid="{00000000-0004-0000-0100-0000F6010000}"/>
    <hyperlink ref="D499" r:id="rId504" xr:uid="{00000000-0004-0000-0100-0000F7010000}"/>
    <hyperlink ref="D500" r:id="rId505" xr:uid="{00000000-0004-0000-0100-0000F8010000}"/>
    <hyperlink ref="D501" r:id="rId506" xr:uid="{00000000-0004-0000-0100-0000F9010000}"/>
    <hyperlink ref="D502" r:id="rId507" xr:uid="{00000000-0004-0000-0100-0000FA010000}"/>
    <hyperlink ref="D503" r:id="rId508" xr:uid="{00000000-0004-0000-0100-0000FB010000}"/>
    <hyperlink ref="D504" r:id="rId509" xr:uid="{00000000-0004-0000-0100-0000FC010000}"/>
    <hyperlink ref="D505" r:id="rId510" xr:uid="{00000000-0004-0000-0100-0000FD010000}"/>
    <hyperlink ref="D506" r:id="rId511" xr:uid="{00000000-0004-0000-0100-0000FE010000}"/>
    <hyperlink ref="D507" r:id="rId512" xr:uid="{00000000-0004-0000-0100-0000FF010000}"/>
    <hyperlink ref="D508" r:id="rId513" xr:uid="{00000000-0004-0000-0100-000000020000}"/>
    <hyperlink ref="D509" r:id="rId514" xr:uid="{00000000-0004-0000-0100-000001020000}"/>
    <hyperlink ref="D510" r:id="rId515" xr:uid="{00000000-0004-0000-0100-000002020000}"/>
    <hyperlink ref="D511" r:id="rId516" xr:uid="{00000000-0004-0000-0100-000003020000}"/>
    <hyperlink ref="D512" r:id="rId517" xr:uid="{00000000-0004-0000-0100-000004020000}"/>
    <hyperlink ref="D513" r:id="rId518" xr:uid="{00000000-0004-0000-0100-000005020000}"/>
    <hyperlink ref="D514" r:id="rId519" xr:uid="{00000000-0004-0000-0100-000006020000}"/>
    <hyperlink ref="D515" r:id="rId520" xr:uid="{00000000-0004-0000-0100-000007020000}"/>
    <hyperlink ref="D517" r:id="rId521" xr:uid="{00000000-0004-0000-0100-000008020000}"/>
    <hyperlink ref="E517" r:id="rId522" xr:uid="{00000000-0004-0000-0100-000009020000}"/>
    <hyperlink ref="D518" r:id="rId523" xr:uid="{00000000-0004-0000-0100-00000A020000}"/>
    <hyperlink ref="D519" r:id="rId524" xr:uid="{00000000-0004-0000-0100-00000B020000}"/>
    <hyperlink ref="E519" r:id="rId525" xr:uid="{00000000-0004-0000-0100-00000C020000}"/>
    <hyperlink ref="D520" r:id="rId526" xr:uid="{00000000-0004-0000-0100-00000D020000}"/>
    <hyperlink ref="E520" r:id="rId527" xr:uid="{00000000-0004-0000-0100-00000E020000}"/>
    <hyperlink ref="D521" r:id="rId528" xr:uid="{00000000-0004-0000-0100-00000F020000}"/>
    <hyperlink ref="D522" r:id="rId529" xr:uid="{00000000-0004-0000-0100-000010020000}"/>
    <hyperlink ref="D523" r:id="rId530" xr:uid="{00000000-0004-0000-0100-000011020000}"/>
    <hyperlink ref="D524" r:id="rId531" xr:uid="{00000000-0004-0000-0100-000012020000}"/>
    <hyperlink ref="D525" r:id="rId532" xr:uid="{00000000-0004-0000-0100-000013020000}"/>
    <hyperlink ref="D526" r:id="rId533" xr:uid="{00000000-0004-0000-0100-000014020000}"/>
    <hyperlink ref="D527" r:id="rId534" xr:uid="{00000000-0004-0000-0100-000015020000}"/>
    <hyperlink ref="D528" r:id="rId535" xr:uid="{00000000-0004-0000-0100-000016020000}"/>
    <hyperlink ref="D529" r:id="rId536" xr:uid="{00000000-0004-0000-0100-000017020000}"/>
    <hyperlink ref="D531" r:id="rId537" xr:uid="{00000000-0004-0000-0100-000018020000}"/>
    <hyperlink ref="D532" r:id="rId538" xr:uid="{00000000-0004-0000-0100-000019020000}"/>
    <hyperlink ref="D533" r:id="rId539" xr:uid="{00000000-0004-0000-0100-00001A020000}"/>
    <hyperlink ref="D534" r:id="rId540" xr:uid="{00000000-0004-0000-0100-00001B020000}"/>
    <hyperlink ref="D535" r:id="rId541" xr:uid="{00000000-0004-0000-0100-00001C020000}"/>
    <hyperlink ref="D536" r:id="rId542" xr:uid="{00000000-0004-0000-0100-00001D020000}"/>
    <hyperlink ref="D537" r:id="rId543" xr:uid="{00000000-0004-0000-0100-00001E020000}"/>
    <hyperlink ref="D538" r:id="rId544" xr:uid="{00000000-0004-0000-0100-00001F020000}"/>
    <hyperlink ref="D539" r:id="rId545" xr:uid="{00000000-0004-0000-0100-000020020000}"/>
    <hyperlink ref="D540" r:id="rId546" xr:uid="{00000000-0004-0000-0100-000021020000}"/>
    <hyperlink ref="D541" r:id="rId547" xr:uid="{00000000-0004-0000-0100-000022020000}"/>
    <hyperlink ref="D542" r:id="rId548" xr:uid="{00000000-0004-0000-0100-000023020000}"/>
    <hyperlink ref="D543" r:id="rId549" xr:uid="{00000000-0004-0000-0100-000024020000}"/>
    <hyperlink ref="D544" r:id="rId550" xr:uid="{00000000-0004-0000-0100-000025020000}"/>
    <hyperlink ref="D545" r:id="rId551" xr:uid="{00000000-0004-0000-0100-000026020000}"/>
    <hyperlink ref="D546" r:id="rId552" xr:uid="{00000000-0004-0000-0100-000027020000}"/>
    <hyperlink ref="D547" r:id="rId553" xr:uid="{00000000-0004-0000-0100-000028020000}"/>
    <hyperlink ref="D548" r:id="rId554" xr:uid="{00000000-0004-0000-0100-000029020000}"/>
    <hyperlink ref="D549" r:id="rId555" xr:uid="{00000000-0004-0000-0100-00002A020000}"/>
    <hyperlink ref="D551" r:id="rId556" xr:uid="{00000000-0004-0000-0100-00002B020000}"/>
    <hyperlink ref="D552" r:id="rId557" xr:uid="{00000000-0004-0000-0100-00002C020000}"/>
    <hyperlink ref="D553" r:id="rId558" xr:uid="{00000000-0004-0000-0100-00002D020000}"/>
    <hyperlink ref="D554" r:id="rId559" xr:uid="{00000000-0004-0000-0100-00002E020000}"/>
    <hyperlink ref="D556" r:id="rId560" xr:uid="{00000000-0004-0000-0100-00002F020000}"/>
    <hyperlink ref="E556" r:id="rId561" xr:uid="{00000000-0004-0000-0100-000030020000}"/>
    <hyperlink ref="D557" r:id="rId562" xr:uid="{00000000-0004-0000-0100-000031020000}"/>
    <hyperlink ref="E557" r:id="rId563" xr:uid="{00000000-0004-0000-0100-000032020000}"/>
    <hyperlink ref="D558" r:id="rId564" xr:uid="{00000000-0004-0000-0100-000033020000}"/>
    <hyperlink ref="D559" r:id="rId565" xr:uid="{00000000-0004-0000-0100-000034020000}"/>
    <hyperlink ref="E559" r:id="rId566" xr:uid="{00000000-0004-0000-0100-000035020000}"/>
    <hyperlink ref="D560" r:id="rId567" xr:uid="{00000000-0004-0000-0100-000036020000}"/>
    <hyperlink ref="D561" r:id="rId568" xr:uid="{00000000-0004-0000-0100-000037020000}"/>
    <hyperlink ref="D562" r:id="rId569" xr:uid="{00000000-0004-0000-0100-000038020000}"/>
    <hyperlink ref="D563" r:id="rId570" xr:uid="{00000000-0004-0000-0100-000039020000}"/>
    <hyperlink ref="D564" r:id="rId571" xr:uid="{00000000-0004-0000-0100-00003A020000}"/>
    <hyperlink ref="D565" r:id="rId572" xr:uid="{00000000-0004-0000-0100-00003B020000}"/>
    <hyperlink ref="D566" r:id="rId573" xr:uid="{00000000-0004-0000-0100-00003C020000}"/>
    <hyperlink ref="D568" r:id="rId574" xr:uid="{00000000-0004-0000-0100-00003D020000}"/>
    <hyperlink ref="D569" r:id="rId575" xr:uid="{00000000-0004-0000-0100-00003E020000}"/>
    <hyperlink ref="D570" r:id="rId576" xr:uid="{00000000-0004-0000-0100-00003F020000}"/>
    <hyperlink ref="D571" r:id="rId577" xr:uid="{00000000-0004-0000-0100-000040020000}"/>
    <hyperlink ref="D572" r:id="rId578" xr:uid="{00000000-0004-0000-0100-000041020000}"/>
    <hyperlink ref="D573" r:id="rId579" xr:uid="{00000000-0004-0000-0100-000042020000}"/>
    <hyperlink ref="D574" r:id="rId580" xr:uid="{00000000-0004-0000-0100-000043020000}"/>
    <hyperlink ref="D575" r:id="rId581" xr:uid="{00000000-0004-0000-0100-000044020000}"/>
    <hyperlink ref="D576" r:id="rId582" xr:uid="{00000000-0004-0000-0100-000045020000}"/>
    <hyperlink ref="D577" r:id="rId583" xr:uid="{00000000-0004-0000-0100-000046020000}"/>
    <hyperlink ref="D578" r:id="rId584" xr:uid="{00000000-0004-0000-0100-000047020000}"/>
    <hyperlink ref="D579" r:id="rId585" xr:uid="{00000000-0004-0000-0100-000048020000}"/>
    <hyperlink ref="D580" r:id="rId586" xr:uid="{00000000-0004-0000-0100-000049020000}"/>
    <hyperlink ref="D581" r:id="rId587" xr:uid="{00000000-0004-0000-0100-00004A020000}"/>
    <hyperlink ref="D582" r:id="rId588" xr:uid="{00000000-0004-0000-0100-00004B020000}"/>
    <hyperlink ref="D583" r:id="rId589" xr:uid="{00000000-0004-0000-0100-00004C020000}"/>
    <hyperlink ref="D584" r:id="rId590" xr:uid="{00000000-0004-0000-0100-00004D020000}"/>
    <hyperlink ref="D585" r:id="rId591" xr:uid="{00000000-0004-0000-0100-00004E020000}"/>
    <hyperlink ref="D586" r:id="rId592" xr:uid="{00000000-0004-0000-0100-00004F020000}"/>
    <hyperlink ref="D587" r:id="rId593" xr:uid="{00000000-0004-0000-0100-000050020000}"/>
    <hyperlink ref="D588" r:id="rId594" xr:uid="{00000000-0004-0000-0100-000051020000}"/>
    <hyperlink ref="D589" r:id="rId595" xr:uid="{00000000-0004-0000-0100-000052020000}"/>
    <hyperlink ref="D590" r:id="rId596" xr:uid="{00000000-0004-0000-0100-000053020000}"/>
    <hyperlink ref="D591" r:id="rId597" xr:uid="{00000000-0004-0000-0100-000054020000}"/>
    <hyperlink ref="D592" r:id="rId598" xr:uid="{00000000-0004-0000-0100-000055020000}"/>
    <hyperlink ref="D593" r:id="rId599" xr:uid="{00000000-0004-0000-0100-000056020000}"/>
    <hyperlink ref="D594" r:id="rId600" xr:uid="{00000000-0004-0000-0100-000057020000}"/>
    <hyperlink ref="D595" r:id="rId601" xr:uid="{00000000-0004-0000-0100-000058020000}"/>
    <hyperlink ref="D596" r:id="rId602" xr:uid="{00000000-0004-0000-0100-000059020000}"/>
    <hyperlink ref="D597" r:id="rId603" xr:uid="{00000000-0004-0000-0100-00005A020000}"/>
    <hyperlink ref="D598" r:id="rId604" xr:uid="{00000000-0004-0000-0100-00005B020000}"/>
    <hyperlink ref="D600" r:id="rId605" xr:uid="{00000000-0004-0000-0100-00005C020000}"/>
    <hyperlink ref="D601" r:id="rId606" xr:uid="{00000000-0004-0000-0100-00005D020000}"/>
    <hyperlink ref="D602" r:id="rId607" xr:uid="{00000000-0004-0000-0100-00005E020000}"/>
    <hyperlink ref="D603" r:id="rId608" xr:uid="{00000000-0004-0000-0100-00005F020000}"/>
    <hyperlink ref="D604" r:id="rId609" xr:uid="{00000000-0004-0000-0100-000060020000}"/>
    <hyperlink ref="D605" r:id="rId610" xr:uid="{00000000-0004-0000-0100-000061020000}"/>
    <hyperlink ref="D606" r:id="rId611" xr:uid="{00000000-0004-0000-0100-000062020000}"/>
    <hyperlink ref="D607" r:id="rId612" xr:uid="{00000000-0004-0000-0100-000063020000}"/>
    <hyperlink ref="D608" r:id="rId613" xr:uid="{00000000-0004-0000-0100-000064020000}"/>
    <hyperlink ref="D609" r:id="rId614" xr:uid="{00000000-0004-0000-0100-000065020000}"/>
    <hyperlink ref="D610" r:id="rId615" xr:uid="{00000000-0004-0000-0100-000066020000}"/>
    <hyperlink ref="D611" r:id="rId616" xr:uid="{00000000-0004-0000-0100-000067020000}"/>
    <hyperlink ref="D612" r:id="rId617" xr:uid="{00000000-0004-0000-0100-000068020000}"/>
    <hyperlink ref="D613" r:id="rId618" xr:uid="{00000000-0004-0000-0100-000069020000}"/>
    <hyperlink ref="D614" r:id="rId619" xr:uid="{00000000-0004-0000-0100-00006A020000}"/>
    <hyperlink ref="D615" r:id="rId620" xr:uid="{00000000-0004-0000-0100-00006B020000}"/>
    <hyperlink ref="D617" r:id="rId621" xr:uid="{00000000-0004-0000-0100-00006C020000}"/>
    <hyperlink ref="E617" r:id="rId622" xr:uid="{00000000-0004-0000-0100-00006D020000}"/>
    <hyperlink ref="E618" r:id="rId623" xr:uid="{00000000-0004-0000-0100-00006E020000}"/>
    <hyperlink ref="D619" r:id="rId624" xr:uid="{00000000-0004-0000-0100-00006F020000}"/>
    <hyperlink ref="E620" r:id="rId625" xr:uid="{00000000-0004-0000-0100-000070020000}"/>
    <hyperlink ref="D621" r:id="rId626" xr:uid="{00000000-0004-0000-0100-000071020000}"/>
    <hyperlink ref="E621" r:id="rId627" xr:uid="{00000000-0004-0000-0100-000072020000}"/>
    <hyperlink ref="D622" r:id="rId628" xr:uid="{00000000-0004-0000-0100-000073020000}"/>
    <hyperlink ref="E622" r:id="rId629" xr:uid="{00000000-0004-0000-0100-000074020000}"/>
    <hyperlink ref="D623" r:id="rId630" xr:uid="{00000000-0004-0000-0100-000075020000}"/>
    <hyperlink ref="D624" r:id="rId631" xr:uid="{00000000-0004-0000-0100-000076020000}"/>
    <hyperlink ref="D625" r:id="rId632" xr:uid="{00000000-0004-0000-0100-000077020000}"/>
    <hyperlink ref="E625" r:id="rId633" xr:uid="{00000000-0004-0000-0100-000078020000}"/>
    <hyperlink ref="D626" r:id="rId634" xr:uid="{00000000-0004-0000-0100-000079020000}"/>
    <hyperlink ref="D627" r:id="rId635" xr:uid="{00000000-0004-0000-0100-00007A020000}"/>
    <hyperlink ref="D628" r:id="rId636" xr:uid="{00000000-0004-0000-0100-00007B020000}"/>
    <hyperlink ref="D629" r:id="rId637" xr:uid="{00000000-0004-0000-0100-00007C020000}"/>
    <hyperlink ref="D630" r:id="rId638" xr:uid="{00000000-0004-0000-0100-00007D020000}"/>
    <hyperlink ref="D631" r:id="rId639" xr:uid="{00000000-0004-0000-0100-00007E020000}"/>
    <hyperlink ref="D632" r:id="rId640" xr:uid="{00000000-0004-0000-0100-00007F020000}"/>
    <hyperlink ref="D633" r:id="rId641" xr:uid="{00000000-0004-0000-0100-000080020000}"/>
    <hyperlink ref="D634" r:id="rId642" xr:uid="{00000000-0004-0000-0100-000081020000}"/>
    <hyperlink ref="D635" r:id="rId643" xr:uid="{00000000-0004-0000-0100-000082020000}"/>
    <hyperlink ref="D636" r:id="rId644" xr:uid="{00000000-0004-0000-0100-000083020000}"/>
    <hyperlink ref="D637" r:id="rId645" xr:uid="{00000000-0004-0000-0100-000084020000}"/>
    <hyperlink ref="D638" r:id="rId646" xr:uid="{00000000-0004-0000-0100-000085020000}"/>
    <hyperlink ref="D639" r:id="rId647" xr:uid="{00000000-0004-0000-0100-000086020000}"/>
    <hyperlink ref="D640" r:id="rId648" xr:uid="{00000000-0004-0000-0100-000087020000}"/>
    <hyperlink ref="D641" r:id="rId649" xr:uid="{00000000-0004-0000-0100-000088020000}"/>
    <hyperlink ref="D642" r:id="rId650" xr:uid="{00000000-0004-0000-0100-000089020000}"/>
    <hyperlink ref="D643" r:id="rId651" xr:uid="{00000000-0004-0000-0100-00008A020000}"/>
    <hyperlink ref="D644" r:id="rId652" xr:uid="{00000000-0004-0000-0100-00008B020000}"/>
    <hyperlink ref="D645" r:id="rId653" xr:uid="{00000000-0004-0000-0100-00008C020000}"/>
    <hyperlink ref="D646" r:id="rId654" xr:uid="{00000000-0004-0000-0100-00008D020000}"/>
    <hyperlink ref="D648" r:id="rId655" xr:uid="{00000000-0004-0000-0100-00008E020000}"/>
    <hyperlink ref="D649" r:id="rId656" xr:uid="{00000000-0004-0000-0100-00008F020000}"/>
    <hyperlink ref="D650" r:id="rId657" xr:uid="{00000000-0004-0000-0100-000090020000}"/>
    <hyperlink ref="D651" r:id="rId658" xr:uid="{00000000-0004-0000-0100-000091020000}"/>
    <hyperlink ref="D652" r:id="rId659" xr:uid="{00000000-0004-0000-0100-000092020000}"/>
    <hyperlink ref="D653" r:id="rId660" xr:uid="{00000000-0004-0000-0100-000093020000}"/>
    <hyperlink ref="D654" r:id="rId661" xr:uid="{00000000-0004-0000-0100-000094020000}"/>
    <hyperlink ref="D655" r:id="rId662" xr:uid="{00000000-0004-0000-0100-000095020000}"/>
    <hyperlink ref="D656" r:id="rId663" xr:uid="{00000000-0004-0000-0100-000096020000}"/>
    <hyperlink ref="D657" r:id="rId664" xr:uid="{00000000-0004-0000-0100-000097020000}"/>
    <hyperlink ref="D658" r:id="rId665" xr:uid="{00000000-0004-0000-0100-000098020000}"/>
    <hyperlink ref="D659" r:id="rId666" xr:uid="{00000000-0004-0000-0100-000099020000}"/>
    <hyperlink ref="D660" r:id="rId667" xr:uid="{00000000-0004-0000-0100-00009A020000}"/>
    <hyperlink ref="D661" r:id="rId668" xr:uid="{00000000-0004-0000-0100-00009B020000}"/>
    <hyperlink ref="D662" r:id="rId669" xr:uid="{00000000-0004-0000-0100-00009C020000}"/>
    <hyperlink ref="D663" r:id="rId670" xr:uid="{00000000-0004-0000-0100-00009D020000}"/>
    <hyperlink ref="D664" r:id="rId671" xr:uid="{00000000-0004-0000-0100-00009E020000}"/>
    <hyperlink ref="D665" r:id="rId672" xr:uid="{00000000-0004-0000-0100-00009F020000}"/>
    <hyperlink ref="D666" r:id="rId673" xr:uid="{00000000-0004-0000-0100-0000A0020000}"/>
    <hyperlink ref="D667" r:id="rId674" xr:uid="{00000000-0004-0000-0100-0000A1020000}"/>
    <hyperlink ref="D668" r:id="rId675" xr:uid="{00000000-0004-0000-0100-0000A2020000}"/>
    <hyperlink ref="D669" r:id="rId676" xr:uid="{00000000-0004-0000-0100-0000A3020000}"/>
    <hyperlink ref="D670" r:id="rId677" xr:uid="{00000000-0004-0000-0100-0000A4020000}"/>
    <hyperlink ref="D671" r:id="rId678" xr:uid="{00000000-0004-0000-0100-0000A5020000}"/>
    <hyperlink ref="D672" r:id="rId679" xr:uid="{00000000-0004-0000-0100-0000A6020000}"/>
    <hyperlink ref="D673" r:id="rId680" xr:uid="{00000000-0004-0000-0100-0000A7020000}"/>
    <hyperlink ref="D674" r:id="rId681" xr:uid="{00000000-0004-0000-0100-0000A8020000}"/>
    <hyperlink ref="D675" r:id="rId682" xr:uid="{00000000-0004-0000-0100-0000A9020000}"/>
    <hyperlink ref="D676" r:id="rId683" xr:uid="{00000000-0004-0000-0100-0000AA020000}"/>
    <hyperlink ref="D677" r:id="rId684" xr:uid="{00000000-0004-0000-0100-0000AB020000}"/>
    <hyperlink ref="D678" r:id="rId685" xr:uid="{00000000-0004-0000-0100-0000AC020000}"/>
    <hyperlink ref="D679" r:id="rId686" xr:uid="{00000000-0004-0000-0100-0000AD020000}"/>
    <hyperlink ref="D680" r:id="rId687" xr:uid="{00000000-0004-0000-0100-0000AE020000}"/>
    <hyperlink ref="D681" r:id="rId688" xr:uid="{00000000-0004-0000-0100-0000AF020000}"/>
    <hyperlink ref="D682" r:id="rId689" xr:uid="{00000000-0004-0000-0100-0000B0020000}"/>
    <hyperlink ref="D683" r:id="rId690" xr:uid="{00000000-0004-0000-0100-0000B1020000}"/>
    <hyperlink ref="D684" r:id="rId691" xr:uid="{00000000-0004-0000-0100-0000B2020000}"/>
    <hyperlink ref="D685" r:id="rId692" xr:uid="{00000000-0004-0000-0100-0000B3020000}"/>
    <hyperlink ref="D686" r:id="rId693" xr:uid="{00000000-0004-0000-0100-0000B4020000}"/>
    <hyperlink ref="D687" r:id="rId694" xr:uid="{00000000-0004-0000-0100-0000B5020000}"/>
    <hyperlink ref="D688" r:id="rId695" xr:uid="{00000000-0004-0000-0100-0000B6020000}"/>
    <hyperlink ref="D689" r:id="rId696" xr:uid="{00000000-0004-0000-0100-0000B7020000}"/>
    <hyperlink ref="D690" r:id="rId697" xr:uid="{00000000-0004-0000-0100-0000B8020000}"/>
    <hyperlink ref="D691" r:id="rId698" xr:uid="{00000000-0004-0000-0100-0000B9020000}"/>
    <hyperlink ref="D692" r:id="rId699" xr:uid="{00000000-0004-0000-0100-0000BA020000}"/>
    <hyperlink ref="D693" r:id="rId700" xr:uid="{00000000-0004-0000-0100-0000BB020000}"/>
    <hyperlink ref="D694" r:id="rId701" xr:uid="{00000000-0004-0000-0100-0000BC020000}"/>
    <hyperlink ref="D695" r:id="rId702" xr:uid="{00000000-0004-0000-0100-0000BD020000}"/>
    <hyperlink ref="D696" r:id="rId703" xr:uid="{00000000-0004-0000-0100-0000BE020000}"/>
    <hyperlink ref="D697" r:id="rId704" xr:uid="{00000000-0004-0000-0100-0000BF020000}"/>
    <hyperlink ref="D698" r:id="rId705" xr:uid="{00000000-0004-0000-0100-0000C0020000}"/>
    <hyperlink ref="D699" r:id="rId706" xr:uid="{00000000-0004-0000-0100-0000C1020000}"/>
    <hyperlink ref="D700" r:id="rId707" xr:uid="{00000000-0004-0000-0100-0000C2020000}"/>
    <hyperlink ref="D701" r:id="rId708" xr:uid="{00000000-0004-0000-0100-0000C3020000}"/>
    <hyperlink ref="D702" r:id="rId709" xr:uid="{00000000-0004-0000-0100-0000C4020000}"/>
    <hyperlink ref="D703" r:id="rId710" xr:uid="{00000000-0004-0000-0100-0000C5020000}"/>
    <hyperlink ref="D704" r:id="rId711" xr:uid="{00000000-0004-0000-0100-0000C6020000}"/>
    <hyperlink ref="D705" r:id="rId712" xr:uid="{00000000-0004-0000-0100-0000C7020000}"/>
    <hyperlink ref="D706" r:id="rId713" xr:uid="{00000000-0004-0000-0100-0000C8020000}"/>
    <hyperlink ref="D707" r:id="rId714" xr:uid="{00000000-0004-0000-0100-0000C9020000}"/>
    <hyperlink ref="D708" r:id="rId715" xr:uid="{00000000-0004-0000-0100-0000CA020000}"/>
    <hyperlink ref="D709" r:id="rId716" xr:uid="{00000000-0004-0000-0100-0000CB020000}"/>
    <hyperlink ref="E711" r:id="rId717" xr:uid="{00000000-0004-0000-0100-0000CC020000}"/>
    <hyperlink ref="D714" r:id="rId718" xr:uid="{00000000-0004-0000-0100-0000CD020000}"/>
    <hyperlink ref="D715" r:id="rId719" xr:uid="{00000000-0004-0000-0100-0000CE020000}"/>
    <hyperlink ref="D719" r:id="rId720" xr:uid="{00000000-0004-0000-0100-0000CF020000}"/>
    <hyperlink ref="D720" r:id="rId721" xr:uid="{00000000-0004-0000-0100-0000D0020000}"/>
    <hyperlink ref="D728" r:id="rId722" xr:uid="{00000000-0004-0000-0100-0000D1020000}"/>
    <hyperlink ref="D729" r:id="rId723" xr:uid="{00000000-0004-0000-0100-0000D2020000}"/>
    <hyperlink ref="D731" r:id="rId724" xr:uid="{00000000-0004-0000-0100-0000D3020000}"/>
    <hyperlink ref="D732" r:id="rId725" xr:uid="{00000000-0004-0000-0100-0000D4020000}"/>
    <hyperlink ref="D733" r:id="rId726" xr:uid="{00000000-0004-0000-0100-0000D5020000}"/>
    <hyperlink ref="D734" r:id="rId727" xr:uid="{00000000-0004-0000-0100-0000D6020000}"/>
    <hyperlink ref="D735" r:id="rId728" xr:uid="{00000000-0004-0000-0100-0000D7020000}"/>
    <hyperlink ref="D736" r:id="rId729" xr:uid="{00000000-0004-0000-0100-0000D8020000}"/>
    <hyperlink ref="D737" r:id="rId730" xr:uid="{00000000-0004-0000-0100-0000D9020000}"/>
    <hyperlink ref="D738" r:id="rId731" xr:uid="{00000000-0004-0000-0100-0000DA020000}"/>
    <hyperlink ref="D739" r:id="rId732" xr:uid="{00000000-0004-0000-0100-0000DB020000}"/>
    <hyperlink ref="D740" r:id="rId733" xr:uid="{00000000-0004-0000-0100-0000DC020000}"/>
    <hyperlink ref="D741" r:id="rId734" xr:uid="{00000000-0004-0000-0100-0000DD020000}"/>
    <hyperlink ref="D742" r:id="rId735" xr:uid="{00000000-0004-0000-0100-0000DE020000}"/>
    <hyperlink ref="D743" r:id="rId736" xr:uid="{00000000-0004-0000-0100-0000DF020000}"/>
    <hyperlink ref="D748" r:id="rId737" xr:uid="{00000000-0004-0000-0100-0000E0020000}"/>
    <hyperlink ref="D749" r:id="rId738" xr:uid="{00000000-0004-0000-0100-0000E1020000}"/>
    <hyperlink ref="D750" r:id="rId739" xr:uid="{00000000-0004-0000-0100-0000E2020000}"/>
    <hyperlink ref="D751" r:id="rId740" xr:uid="{00000000-0004-0000-0100-0000E3020000}"/>
    <hyperlink ref="D752" r:id="rId741" xr:uid="{00000000-0004-0000-0100-0000E4020000}"/>
    <hyperlink ref="D753" r:id="rId742" xr:uid="{00000000-0004-0000-0100-0000E5020000}"/>
    <hyperlink ref="D754" r:id="rId743" xr:uid="{00000000-0004-0000-0100-0000E6020000}"/>
    <hyperlink ref="D769" r:id="rId744" xr:uid="{00000000-0004-0000-0100-0000E7020000}"/>
    <hyperlink ref="D770" r:id="rId745" xr:uid="{00000000-0004-0000-0100-0000E8020000}"/>
    <hyperlink ref="D771" r:id="rId746" xr:uid="{00000000-0004-0000-0100-0000E9020000}"/>
    <hyperlink ref="D774" r:id="rId747" xr:uid="{00000000-0004-0000-0100-0000EA020000}"/>
    <hyperlink ref="D775" r:id="rId748" xr:uid="{00000000-0004-0000-0100-0000EB020000}"/>
    <hyperlink ref="D776" r:id="rId749" xr:uid="{00000000-0004-0000-0100-0000EC020000}"/>
    <hyperlink ref="D777" r:id="rId750" xr:uid="{00000000-0004-0000-0100-0000ED020000}"/>
    <hyperlink ref="D778" r:id="rId751" xr:uid="{00000000-0004-0000-0100-0000EE020000}"/>
    <hyperlink ref="D779" r:id="rId752" xr:uid="{00000000-0004-0000-0100-0000EF020000}"/>
    <hyperlink ref="D780" r:id="rId753" xr:uid="{00000000-0004-0000-0100-0000F0020000}"/>
    <hyperlink ref="D781" r:id="rId754" xr:uid="{00000000-0004-0000-0100-0000F1020000}"/>
    <hyperlink ref="D782" r:id="rId755" xr:uid="{00000000-0004-0000-0100-0000F2020000}"/>
    <hyperlink ref="D783" r:id="rId756" xr:uid="{00000000-0004-0000-0100-0000F3020000}"/>
    <hyperlink ref="E787" r:id="rId757" xr:uid="{00000000-0004-0000-0100-0000F4020000}"/>
    <hyperlink ref="D788" r:id="rId758" xr:uid="{00000000-0004-0000-0100-0000F5020000}"/>
    <hyperlink ref="D789" r:id="rId759" xr:uid="{00000000-0004-0000-0100-0000F6020000}"/>
    <hyperlink ref="D790" r:id="rId760" xr:uid="{00000000-0004-0000-0100-0000F7020000}"/>
    <hyperlink ref="E790" r:id="rId761" xr:uid="{00000000-0004-0000-0100-0000F8020000}"/>
    <hyperlink ref="D791" r:id="rId762" xr:uid="{00000000-0004-0000-0100-0000F9020000}"/>
    <hyperlink ref="D792" r:id="rId763" xr:uid="{00000000-0004-0000-0100-0000FA020000}"/>
    <hyperlink ref="D793" r:id="rId764" xr:uid="{00000000-0004-0000-0100-0000FB020000}"/>
    <hyperlink ref="D794" r:id="rId765" xr:uid="{00000000-0004-0000-0100-0000FC020000}"/>
    <hyperlink ref="D795" r:id="rId766" xr:uid="{00000000-0004-0000-0100-0000FD020000}"/>
    <hyperlink ref="D796" r:id="rId767" xr:uid="{00000000-0004-0000-0100-0000FE020000}"/>
    <hyperlink ref="D797" r:id="rId768" xr:uid="{00000000-0004-0000-0100-0000FF020000}"/>
    <hyperlink ref="D798" r:id="rId769" xr:uid="{00000000-0004-0000-0100-000000030000}"/>
    <hyperlink ref="D799" r:id="rId770" xr:uid="{00000000-0004-0000-0100-000001030000}"/>
    <hyperlink ref="D800" r:id="rId771" xr:uid="{00000000-0004-0000-0100-000002030000}"/>
    <hyperlink ref="D801" r:id="rId772" xr:uid="{00000000-0004-0000-0100-000003030000}"/>
    <hyperlink ref="D802" r:id="rId773" xr:uid="{00000000-0004-0000-0100-000004030000}"/>
    <hyperlink ref="D803" r:id="rId774" xr:uid="{00000000-0004-0000-0100-000005030000}"/>
    <hyperlink ref="D804" r:id="rId775" xr:uid="{00000000-0004-0000-0100-000006030000}"/>
    <hyperlink ref="D805" r:id="rId776" xr:uid="{00000000-0004-0000-0100-000007030000}"/>
    <hyperlink ref="D817" r:id="rId777" xr:uid="{00000000-0004-0000-0100-000008030000}"/>
    <hyperlink ref="D818" r:id="rId778" xr:uid="{00000000-0004-0000-0100-000009030000}"/>
    <hyperlink ref="D819" r:id="rId779" xr:uid="{00000000-0004-0000-0100-00000A030000}"/>
    <hyperlink ref="D820" r:id="rId780" xr:uid="{00000000-0004-0000-0100-00000B030000}"/>
    <hyperlink ref="D821" r:id="rId781" xr:uid="{00000000-0004-0000-0100-00000C030000}"/>
    <hyperlink ref="D822" r:id="rId782" xr:uid="{00000000-0004-0000-0100-00000D030000}"/>
    <hyperlink ref="D823" r:id="rId783" xr:uid="{00000000-0004-0000-0100-00000E030000}"/>
    <hyperlink ref="D824" r:id="rId784" xr:uid="{00000000-0004-0000-0100-00000F030000}"/>
    <hyperlink ref="D825" r:id="rId785" xr:uid="{00000000-0004-0000-0100-000010030000}"/>
    <hyperlink ref="D826" r:id="rId786" xr:uid="{00000000-0004-0000-0100-000011030000}"/>
    <hyperlink ref="D828" r:id="rId787" xr:uid="{00000000-0004-0000-0100-000012030000}"/>
    <hyperlink ref="D829" r:id="rId788" xr:uid="{00000000-0004-0000-0100-000013030000}"/>
    <hyperlink ref="D830" r:id="rId789" xr:uid="{00000000-0004-0000-0100-000014030000}"/>
    <hyperlink ref="D831" r:id="rId790" xr:uid="{00000000-0004-0000-0100-000015030000}"/>
    <hyperlink ref="D832" r:id="rId791" xr:uid="{00000000-0004-0000-0100-000016030000}"/>
    <hyperlink ref="D833" r:id="rId792" xr:uid="{00000000-0004-0000-0100-000017030000}"/>
    <hyperlink ref="D834" r:id="rId793" xr:uid="{00000000-0004-0000-0100-000018030000}"/>
    <hyperlink ref="D835" r:id="rId794" xr:uid="{00000000-0004-0000-0100-000019030000}"/>
    <hyperlink ref="D836" r:id="rId795" xr:uid="{00000000-0004-0000-0100-00001A030000}"/>
    <hyperlink ref="D837" r:id="rId796" xr:uid="{00000000-0004-0000-0100-00001B030000}"/>
    <hyperlink ref="D838" r:id="rId797" xr:uid="{00000000-0004-0000-0100-00001C030000}"/>
    <hyperlink ref="D839" r:id="rId798" xr:uid="{00000000-0004-0000-0100-00001D030000}"/>
    <hyperlink ref="D840" r:id="rId799" xr:uid="{00000000-0004-0000-0100-00001E030000}"/>
    <hyperlink ref="D841" r:id="rId800" xr:uid="{00000000-0004-0000-0100-00001F030000}"/>
    <hyperlink ref="D842" r:id="rId801" xr:uid="{00000000-0004-0000-0100-000020030000}"/>
    <hyperlink ref="D843" r:id="rId802" xr:uid="{00000000-0004-0000-0100-000021030000}"/>
    <hyperlink ref="D844" r:id="rId803" xr:uid="{00000000-0004-0000-0100-000022030000}"/>
    <hyperlink ref="D845" r:id="rId804" xr:uid="{00000000-0004-0000-0100-000023030000}"/>
    <hyperlink ref="D846" r:id="rId805" xr:uid="{00000000-0004-0000-0100-000024030000}"/>
    <hyperlink ref="D847" r:id="rId806" xr:uid="{00000000-0004-0000-0100-000025030000}"/>
    <hyperlink ref="D869" r:id="rId807" xr:uid="{00000000-0004-0000-0100-000026030000}"/>
    <hyperlink ref="D870" r:id="rId808" xr:uid="{00000000-0004-0000-0100-000027030000}"/>
    <hyperlink ref="D871" r:id="rId809" xr:uid="{00000000-0004-0000-0100-000028030000}"/>
    <hyperlink ref="D872" r:id="rId810" xr:uid="{00000000-0004-0000-0100-000029030000}"/>
    <hyperlink ref="D873" r:id="rId811" xr:uid="{00000000-0004-0000-0100-00002A030000}"/>
    <hyperlink ref="D874" r:id="rId812" xr:uid="{00000000-0004-0000-0100-00002B030000}"/>
    <hyperlink ref="D875" r:id="rId813" xr:uid="{00000000-0004-0000-0100-00002C030000}"/>
    <hyperlink ref="D877" r:id="rId814" xr:uid="{00000000-0004-0000-0100-00002D030000}"/>
    <hyperlink ref="D878" r:id="rId815" xr:uid="{00000000-0004-0000-0100-00002E030000}"/>
    <hyperlink ref="D879" r:id="rId816" xr:uid="{00000000-0004-0000-0100-00002F030000}"/>
    <hyperlink ref="D880" r:id="rId817" xr:uid="{00000000-0004-0000-0100-000030030000}"/>
    <hyperlink ref="D881" r:id="rId818" xr:uid="{00000000-0004-0000-0100-000031030000}"/>
    <hyperlink ref="E881" r:id="rId819" xr:uid="{00000000-0004-0000-0100-000032030000}"/>
    <hyperlink ref="D882" r:id="rId820" xr:uid="{00000000-0004-0000-0100-000033030000}"/>
    <hyperlink ref="E882" r:id="rId821" xr:uid="{00000000-0004-0000-0100-000034030000}"/>
    <hyperlink ref="D883" r:id="rId822" xr:uid="{00000000-0004-0000-0100-000035030000}"/>
    <hyperlink ref="D884" r:id="rId823" xr:uid="{00000000-0004-0000-0100-000036030000}"/>
    <hyperlink ref="D885" r:id="rId824" xr:uid="{00000000-0004-0000-0100-000037030000}"/>
    <hyperlink ref="D886" r:id="rId825" xr:uid="{00000000-0004-0000-0100-000038030000}"/>
    <hyperlink ref="D887" r:id="rId826" xr:uid="{00000000-0004-0000-0100-000039030000}"/>
    <hyperlink ref="D888" r:id="rId827" xr:uid="{00000000-0004-0000-0100-00003A030000}"/>
    <hyperlink ref="D889" r:id="rId828" xr:uid="{00000000-0004-0000-0100-00003B030000}"/>
    <hyperlink ref="D890" r:id="rId829" xr:uid="{00000000-0004-0000-0100-00003C030000}"/>
    <hyperlink ref="D891" r:id="rId830" xr:uid="{00000000-0004-0000-0100-00003D030000}"/>
    <hyperlink ref="D892" r:id="rId831" xr:uid="{00000000-0004-0000-0100-00003E030000}"/>
    <hyperlink ref="D893" r:id="rId832" xr:uid="{00000000-0004-0000-0100-00003F030000}"/>
    <hyperlink ref="D894" r:id="rId833" xr:uid="{00000000-0004-0000-0100-000040030000}"/>
    <hyperlink ref="D895" r:id="rId834" xr:uid="{00000000-0004-0000-0100-000041030000}"/>
    <hyperlink ref="D896" r:id="rId835" xr:uid="{00000000-0004-0000-0100-000042030000}"/>
    <hyperlink ref="D897" r:id="rId836" xr:uid="{00000000-0004-0000-0100-000043030000}"/>
    <hyperlink ref="D898" r:id="rId837" xr:uid="{00000000-0004-0000-0100-000044030000}"/>
    <hyperlink ref="D899" r:id="rId838" xr:uid="{00000000-0004-0000-0100-000045030000}"/>
    <hyperlink ref="D900" r:id="rId839" xr:uid="{00000000-0004-0000-0100-000046030000}"/>
    <hyperlink ref="D901" r:id="rId840" xr:uid="{00000000-0004-0000-0100-000047030000}"/>
    <hyperlink ref="D902" r:id="rId841" xr:uid="{00000000-0004-0000-0100-000048030000}"/>
    <hyperlink ref="D903" r:id="rId842" xr:uid="{00000000-0004-0000-0100-000049030000}"/>
    <hyperlink ref="D904" r:id="rId843" xr:uid="{00000000-0004-0000-0100-00004A030000}"/>
    <hyperlink ref="D905" r:id="rId844" xr:uid="{00000000-0004-0000-0100-00004B030000}"/>
    <hyperlink ref="D906" r:id="rId845" xr:uid="{00000000-0004-0000-0100-00004C030000}"/>
    <hyperlink ref="D907" r:id="rId846" xr:uid="{00000000-0004-0000-0100-00004D030000}"/>
    <hyperlink ref="D908" r:id="rId847" xr:uid="{00000000-0004-0000-0100-00004E030000}"/>
    <hyperlink ref="D909" r:id="rId848" xr:uid="{00000000-0004-0000-0100-00004F030000}"/>
    <hyperlink ref="D910" r:id="rId849" xr:uid="{00000000-0004-0000-0100-000050030000}"/>
    <hyperlink ref="D911" r:id="rId850" xr:uid="{00000000-0004-0000-0100-000051030000}"/>
    <hyperlink ref="D912" r:id="rId851" xr:uid="{00000000-0004-0000-0100-000052030000}"/>
    <hyperlink ref="D913" r:id="rId852" xr:uid="{00000000-0004-0000-0100-000053030000}"/>
    <hyperlink ref="D914" r:id="rId853" xr:uid="{00000000-0004-0000-0100-000054030000}"/>
    <hyperlink ref="D915" r:id="rId854" xr:uid="{00000000-0004-0000-0100-000055030000}"/>
    <hyperlink ref="D916" r:id="rId855" xr:uid="{00000000-0004-0000-0100-000056030000}"/>
    <hyperlink ref="D917" r:id="rId856" xr:uid="{00000000-0004-0000-0100-000057030000}"/>
    <hyperlink ref="D918" r:id="rId857" xr:uid="{00000000-0004-0000-0100-000058030000}"/>
    <hyperlink ref="D919" r:id="rId858" xr:uid="{00000000-0004-0000-0100-000059030000}"/>
    <hyperlink ref="D920" r:id="rId859" xr:uid="{00000000-0004-0000-0100-00005A030000}"/>
    <hyperlink ref="D921" r:id="rId860" xr:uid="{00000000-0004-0000-0100-00005B030000}"/>
    <hyperlink ref="D922" r:id="rId861" xr:uid="{00000000-0004-0000-0100-00005C030000}"/>
    <hyperlink ref="D923" r:id="rId862" xr:uid="{00000000-0004-0000-0100-00005D030000}"/>
    <hyperlink ref="D924" r:id="rId863" xr:uid="{00000000-0004-0000-0100-00005E030000}"/>
    <hyperlink ref="D925" r:id="rId864" xr:uid="{00000000-0004-0000-0100-00005F030000}"/>
    <hyperlink ref="D926" r:id="rId865" xr:uid="{00000000-0004-0000-0100-000060030000}"/>
    <hyperlink ref="D927" r:id="rId866" xr:uid="{00000000-0004-0000-0100-000061030000}"/>
    <hyperlink ref="D928" r:id="rId867" xr:uid="{00000000-0004-0000-0100-000062030000}"/>
    <hyperlink ref="D929" r:id="rId868" xr:uid="{00000000-0004-0000-0100-000063030000}"/>
    <hyperlink ref="D930" r:id="rId869" xr:uid="{00000000-0004-0000-0100-000064030000}"/>
    <hyperlink ref="D931" r:id="rId870" xr:uid="{00000000-0004-0000-0100-000065030000}"/>
    <hyperlink ref="D932" r:id="rId871" xr:uid="{00000000-0004-0000-0100-000066030000}"/>
    <hyperlink ref="D933" r:id="rId872" xr:uid="{00000000-0004-0000-0100-000067030000}"/>
    <hyperlink ref="D934" r:id="rId873" xr:uid="{00000000-0004-0000-0100-000068030000}"/>
    <hyperlink ref="D935" r:id="rId874" xr:uid="{00000000-0004-0000-0100-000069030000}"/>
    <hyperlink ref="D936" r:id="rId875" xr:uid="{00000000-0004-0000-0100-00006A030000}"/>
    <hyperlink ref="D937" r:id="rId876" xr:uid="{00000000-0004-0000-0100-00006B030000}"/>
    <hyperlink ref="D938" r:id="rId877" xr:uid="{00000000-0004-0000-0100-00006C030000}"/>
    <hyperlink ref="D939" r:id="rId878" xr:uid="{00000000-0004-0000-0100-00006D030000}"/>
    <hyperlink ref="D940" r:id="rId879" xr:uid="{00000000-0004-0000-0100-00006E030000}"/>
    <hyperlink ref="D941" r:id="rId880" xr:uid="{00000000-0004-0000-0100-00006F030000}"/>
    <hyperlink ref="D942" r:id="rId881" xr:uid="{00000000-0004-0000-0100-000070030000}"/>
    <hyperlink ref="D943" r:id="rId882" xr:uid="{00000000-0004-0000-0100-000071030000}"/>
    <hyperlink ref="D944" r:id="rId883" xr:uid="{00000000-0004-0000-0100-000072030000}"/>
    <hyperlink ref="D945" r:id="rId884" xr:uid="{00000000-0004-0000-0100-000073030000}"/>
    <hyperlink ref="D946" r:id="rId885" xr:uid="{00000000-0004-0000-0100-000074030000}"/>
    <hyperlink ref="D947" r:id="rId886" xr:uid="{00000000-0004-0000-0100-000075030000}"/>
    <hyperlink ref="D948" r:id="rId887" xr:uid="{00000000-0004-0000-0100-000076030000}"/>
    <hyperlink ref="D949" r:id="rId888" xr:uid="{00000000-0004-0000-0100-000077030000}"/>
    <hyperlink ref="D950" r:id="rId889" xr:uid="{00000000-0004-0000-0100-000078030000}"/>
    <hyperlink ref="D951" r:id="rId890" xr:uid="{00000000-0004-0000-0100-000079030000}"/>
    <hyperlink ref="D952" r:id="rId891" xr:uid="{00000000-0004-0000-0100-00007A030000}"/>
    <hyperlink ref="D953" r:id="rId892" xr:uid="{00000000-0004-0000-0100-00007B030000}"/>
    <hyperlink ref="D954" r:id="rId893" xr:uid="{00000000-0004-0000-0100-00007C030000}"/>
    <hyperlink ref="D955" r:id="rId894" xr:uid="{00000000-0004-0000-0100-00007D030000}"/>
    <hyperlink ref="D956" r:id="rId895" xr:uid="{00000000-0004-0000-0100-00007E030000}"/>
    <hyperlink ref="D957" r:id="rId896" xr:uid="{00000000-0004-0000-0100-00007F030000}"/>
    <hyperlink ref="D959" r:id="rId897" xr:uid="{00000000-0004-0000-0100-000080030000}"/>
    <hyperlink ref="E959" r:id="rId898" xr:uid="{00000000-0004-0000-0100-000081030000}"/>
    <hyperlink ref="D960" r:id="rId899" xr:uid="{00000000-0004-0000-0100-000082030000}"/>
    <hyperlink ref="D961" r:id="rId900" xr:uid="{00000000-0004-0000-0100-000083030000}"/>
    <hyperlink ref="E961" r:id="rId901" xr:uid="{00000000-0004-0000-0100-000084030000}"/>
    <hyperlink ref="D962" r:id="rId902" xr:uid="{00000000-0004-0000-0100-000085030000}"/>
    <hyperlink ref="E962" r:id="rId903" xr:uid="{00000000-0004-0000-0100-000086030000}"/>
    <hyperlink ref="D963" r:id="rId904" xr:uid="{00000000-0004-0000-0100-000087030000}"/>
    <hyperlink ref="E964" r:id="rId905" xr:uid="{00000000-0004-0000-0100-000088030000}"/>
    <hyperlink ref="D965" r:id="rId906" xr:uid="{00000000-0004-0000-0100-000089030000}"/>
    <hyperlink ref="E965" r:id="rId907" xr:uid="{00000000-0004-0000-0100-00008A030000}"/>
    <hyperlink ref="D966" r:id="rId908" xr:uid="{00000000-0004-0000-0100-00008B030000}"/>
    <hyperlink ref="E966" r:id="rId909" xr:uid="{00000000-0004-0000-0100-00008C030000}"/>
    <hyperlink ref="D967" r:id="rId910" xr:uid="{00000000-0004-0000-0100-00008D030000}"/>
    <hyperlink ref="D968" r:id="rId911" xr:uid="{00000000-0004-0000-0100-00008E030000}"/>
    <hyperlink ref="E968" r:id="rId912" xr:uid="{00000000-0004-0000-0100-00008F030000}"/>
    <hyperlink ref="D969" r:id="rId913" xr:uid="{00000000-0004-0000-0100-000090030000}"/>
    <hyperlink ref="D970" r:id="rId914" xr:uid="{00000000-0004-0000-0100-000091030000}"/>
    <hyperlink ref="D971" r:id="rId915" xr:uid="{00000000-0004-0000-0100-000092030000}"/>
    <hyperlink ref="E971" r:id="rId916" xr:uid="{00000000-0004-0000-0100-000093030000}"/>
    <hyperlink ref="D972" r:id="rId917" xr:uid="{00000000-0004-0000-0100-000094030000}"/>
    <hyperlink ref="B973" r:id="rId918" display="https://www.linkedin.com/learning/managing-globally/what-is-cultural-agility" xr:uid="{00000000-0004-0000-0100-000095030000}"/>
    <hyperlink ref="C973" r:id="rId919" xr:uid="{00000000-0004-0000-0100-000096030000}"/>
    <hyperlink ref="D973" r:id="rId920" xr:uid="{00000000-0004-0000-0100-000097030000}"/>
    <hyperlink ref="E973" r:id="rId921" xr:uid="{00000000-0004-0000-0100-000098030000}"/>
    <hyperlink ref="D974" r:id="rId922" xr:uid="{00000000-0004-0000-0100-000099030000}"/>
    <hyperlink ref="D975" r:id="rId923" xr:uid="{00000000-0004-0000-0100-00009A030000}"/>
    <hyperlink ref="D976" r:id="rId924" xr:uid="{00000000-0004-0000-0100-00009B030000}"/>
    <hyperlink ref="D977" r:id="rId925" xr:uid="{00000000-0004-0000-0100-00009C030000}"/>
    <hyperlink ref="D978" r:id="rId926" xr:uid="{00000000-0004-0000-0100-00009D030000}"/>
    <hyperlink ref="D979" r:id="rId927" xr:uid="{00000000-0004-0000-0100-00009E030000}"/>
    <hyperlink ref="D980" r:id="rId928" xr:uid="{00000000-0004-0000-0100-00009F030000}"/>
    <hyperlink ref="D981" r:id="rId929" xr:uid="{00000000-0004-0000-0100-0000A0030000}"/>
    <hyperlink ref="D982" r:id="rId930" xr:uid="{00000000-0004-0000-0100-0000A1030000}"/>
    <hyperlink ref="D983" r:id="rId931" xr:uid="{00000000-0004-0000-0100-0000A2030000}"/>
    <hyperlink ref="D984" r:id="rId932" xr:uid="{00000000-0004-0000-0100-0000A3030000}"/>
    <hyperlink ref="D985" r:id="rId933" xr:uid="{00000000-0004-0000-0100-0000A4030000}"/>
    <hyperlink ref="D986" r:id="rId934" xr:uid="{00000000-0004-0000-0100-0000A5030000}"/>
    <hyperlink ref="D987" r:id="rId935" xr:uid="{00000000-0004-0000-0100-0000A6030000}"/>
    <hyperlink ref="D988" r:id="rId936" xr:uid="{00000000-0004-0000-0100-0000A7030000}"/>
    <hyperlink ref="D989" r:id="rId937" xr:uid="{00000000-0004-0000-0100-0000A8030000}"/>
    <hyperlink ref="D990" r:id="rId938" xr:uid="{00000000-0004-0000-0100-0000A9030000}"/>
    <hyperlink ref="D991" r:id="rId939" xr:uid="{00000000-0004-0000-0100-0000AA030000}"/>
    <hyperlink ref="D992" r:id="rId940" xr:uid="{00000000-0004-0000-0100-0000AB030000}"/>
    <hyperlink ref="D993" r:id="rId941" xr:uid="{00000000-0004-0000-0100-0000AC030000}"/>
    <hyperlink ref="D994" r:id="rId942" xr:uid="{00000000-0004-0000-0100-0000AD030000}"/>
    <hyperlink ref="D995" r:id="rId943" xr:uid="{00000000-0004-0000-0100-0000AE030000}"/>
    <hyperlink ref="D996" r:id="rId944" xr:uid="{00000000-0004-0000-0100-0000AF030000}"/>
    <hyperlink ref="D997" r:id="rId945" xr:uid="{00000000-0004-0000-0100-0000B0030000}"/>
    <hyperlink ref="D998" r:id="rId946" xr:uid="{00000000-0004-0000-0100-0000B1030000}"/>
    <hyperlink ref="D999" r:id="rId947" xr:uid="{00000000-0004-0000-0100-0000B2030000}"/>
    <hyperlink ref="D1000" r:id="rId948" xr:uid="{00000000-0004-0000-0100-0000B3030000}"/>
    <hyperlink ref="D1001" r:id="rId949" xr:uid="{00000000-0004-0000-0100-0000B4030000}"/>
    <hyperlink ref="D1002" r:id="rId950" xr:uid="{00000000-0004-0000-0100-0000B5030000}"/>
    <hyperlink ref="D1003" r:id="rId951" xr:uid="{00000000-0004-0000-0100-0000B6030000}"/>
    <hyperlink ref="D1004" r:id="rId952" xr:uid="{00000000-0004-0000-0100-0000B7030000}"/>
    <hyperlink ref="D1005" r:id="rId953" xr:uid="{00000000-0004-0000-0100-0000B8030000}"/>
    <hyperlink ref="D1006" r:id="rId954" xr:uid="{00000000-0004-0000-0100-0000B9030000}"/>
    <hyperlink ref="D1007" r:id="rId955" xr:uid="{00000000-0004-0000-0100-0000BA030000}"/>
    <hyperlink ref="D1008" r:id="rId956" xr:uid="{00000000-0004-0000-0100-0000BB030000}"/>
    <hyperlink ref="C1009" r:id="rId957" xr:uid="{00000000-0004-0000-0100-0000BC030000}"/>
    <hyperlink ref="D1009" r:id="rId958" xr:uid="{00000000-0004-0000-0100-0000BD030000}"/>
    <hyperlink ref="D1010" r:id="rId959" xr:uid="{00000000-0004-0000-0100-0000BE030000}"/>
    <hyperlink ref="D1011" r:id="rId960" xr:uid="{00000000-0004-0000-0100-0000BF030000}"/>
    <hyperlink ref="D1012" r:id="rId961" xr:uid="{00000000-0004-0000-0100-0000C0030000}"/>
    <hyperlink ref="D1013" r:id="rId962" xr:uid="{00000000-0004-0000-0100-0000C1030000}"/>
    <hyperlink ref="D1014" r:id="rId963" xr:uid="{00000000-0004-0000-0100-0000C2030000}"/>
    <hyperlink ref="D1015" r:id="rId964" xr:uid="{00000000-0004-0000-0100-0000C3030000}"/>
    <hyperlink ref="D1017" r:id="rId965" xr:uid="{00000000-0004-0000-0100-0000C4030000}"/>
    <hyperlink ref="D1019" r:id="rId966" xr:uid="{00000000-0004-0000-0100-0000C5030000}"/>
    <hyperlink ref="D1021" r:id="rId967" xr:uid="{00000000-0004-0000-0100-0000C6030000}"/>
    <hyperlink ref="D1022" r:id="rId968" xr:uid="{00000000-0004-0000-0100-0000C7030000}"/>
    <hyperlink ref="D1023" r:id="rId969" xr:uid="{00000000-0004-0000-0100-0000C8030000}"/>
    <hyperlink ref="D1024" r:id="rId970" xr:uid="{00000000-0004-0000-0100-0000C9030000}"/>
    <hyperlink ref="D1025" r:id="rId971" xr:uid="{00000000-0004-0000-0100-0000CA030000}"/>
    <hyperlink ref="D1026" r:id="rId972" xr:uid="{00000000-0004-0000-0100-0000CB030000}"/>
    <hyperlink ref="D1027" r:id="rId973" xr:uid="{00000000-0004-0000-0100-0000CC030000}"/>
    <hyperlink ref="D1028" r:id="rId974" xr:uid="{00000000-0004-0000-0100-0000CD030000}"/>
    <hyperlink ref="D1029" r:id="rId975" xr:uid="{00000000-0004-0000-0100-0000CE030000}"/>
    <hyperlink ref="D1030" r:id="rId976" xr:uid="{00000000-0004-0000-0100-0000CF030000}"/>
    <hyperlink ref="D1032" r:id="rId977" xr:uid="{00000000-0004-0000-0100-0000D0030000}"/>
    <hyperlink ref="D1034" r:id="rId978" xr:uid="{00000000-0004-0000-0100-0000D1030000}"/>
    <hyperlink ref="E1034" r:id="rId979" xr:uid="{00000000-0004-0000-0100-0000D2030000}"/>
    <hyperlink ref="D1035" r:id="rId980" xr:uid="{00000000-0004-0000-0100-0000D3030000}"/>
    <hyperlink ref="D1036" r:id="rId981" xr:uid="{00000000-0004-0000-0100-0000D4030000}"/>
    <hyperlink ref="E1036" r:id="rId982" xr:uid="{00000000-0004-0000-0100-0000D5030000}"/>
    <hyperlink ref="E1037" r:id="rId983" xr:uid="{00000000-0004-0000-0100-0000D6030000}"/>
    <hyperlink ref="D1038" r:id="rId984" xr:uid="{00000000-0004-0000-0100-0000D7030000}"/>
    <hyperlink ref="E1038" r:id="rId985" xr:uid="{00000000-0004-0000-0100-0000D8030000}"/>
    <hyperlink ref="D1039" r:id="rId986" xr:uid="{00000000-0004-0000-0100-0000D9030000}"/>
    <hyperlink ref="D1040" r:id="rId987" xr:uid="{00000000-0004-0000-0100-0000DA030000}"/>
    <hyperlink ref="D1041" r:id="rId988" xr:uid="{00000000-0004-0000-0100-0000DB030000}"/>
    <hyperlink ref="D1042" r:id="rId989" xr:uid="{00000000-0004-0000-0100-0000DC030000}"/>
    <hyperlink ref="D1043" r:id="rId990" xr:uid="{00000000-0004-0000-0100-0000DD030000}"/>
    <hyperlink ref="D1044" r:id="rId991" xr:uid="{00000000-0004-0000-0100-0000DE030000}"/>
    <hyperlink ref="D1045" r:id="rId992" xr:uid="{00000000-0004-0000-0100-0000DF030000}"/>
    <hyperlink ref="D1046" r:id="rId993" xr:uid="{00000000-0004-0000-0100-0000E0030000}"/>
    <hyperlink ref="D1047" r:id="rId994" xr:uid="{00000000-0004-0000-0100-0000E1030000}"/>
    <hyperlink ref="D1048" r:id="rId995" xr:uid="{00000000-0004-0000-0100-0000E2030000}"/>
    <hyperlink ref="D1049" r:id="rId996" xr:uid="{00000000-0004-0000-0100-0000E3030000}"/>
    <hyperlink ref="D1050" r:id="rId997" xr:uid="{00000000-0004-0000-0100-0000E4030000}"/>
    <hyperlink ref="D1051" r:id="rId998" xr:uid="{00000000-0004-0000-0100-0000E5030000}"/>
    <hyperlink ref="D1052" r:id="rId999" xr:uid="{00000000-0004-0000-0100-0000E6030000}"/>
    <hyperlink ref="D1053" r:id="rId1000" xr:uid="{00000000-0004-0000-0100-0000E7030000}"/>
    <hyperlink ref="D1054" r:id="rId1001" xr:uid="{00000000-0004-0000-0100-0000E8030000}"/>
    <hyperlink ref="D1055" r:id="rId1002" xr:uid="{00000000-0004-0000-0100-0000E9030000}"/>
    <hyperlink ref="D1056" r:id="rId1003" xr:uid="{00000000-0004-0000-0100-0000EA030000}"/>
    <hyperlink ref="D1057" r:id="rId1004" xr:uid="{00000000-0004-0000-0100-0000EB030000}"/>
    <hyperlink ref="D1058" r:id="rId1005" xr:uid="{00000000-0004-0000-0100-0000EC030000}"/>
    <hyperlink ref="D1059" r:id="rId1006" xr:uid="{00000000-0004-0000-0100-0000ED030000}"/>
    <hyperlink ref="D1060" r:id="rId1007" xr:uid="{00000000-0004-0000-0100-0000EE030000}"/>
    <hyperlink ref="D1061" r:id="rId1008" xr:uid="{00000000-0004-0000-0100-0000EF030000}"/>
    <hyperlink ref="D1062" r:id="rId1009" xr:uid="{00000000-0004-0000-0100-0000F0030000}"/>
    <hyperlink ref="D1063" r:id="rId1010" xr:uid="{00000000-0004-0000-0100-0000F1030000}"/>
    <hyperlink ref="D1064" r:id="rId1011" xr:uid="{00000000-0004-0000-0100-0000F2030000}"/>
    <hyperlink ref="D1065" r:id="rId1012" xr:uid="{00000000-0004-0000-0100-0000F3030000}"/>
    <hyperlink ref="D1066" r:id="rId1013" xr:uid="{00000000-0004-0000-0100-0000F4030000}"/>
    <hyperlink ref="D1067" r:id="rId1014" xr:uid="{00000000-0004-0000-0100-0000F5030000}"/>
    <hyperlink ref="D1068" r:id="rId1015" xr:uid="{00000000-0004-0000-0100-0000F6030000}"/>
    <hyperlink ref="D1069" r:id="rId1016" xr:uid="{00000000-0004-0000-0100-0000F7030000}"/>
    <hyperlink ref="D1070" r:id="rId1017" xr:uid="{00000000-0004-0000-0100-0000F8030000}"/>
    <hyperlink ref="D1071" r:id="rId1018" xr:uid="{00000000-0004-0000-0100-0000F9030000}"/>
    <hyperlink ref="D1072" r:id="rId1019" xr:uid="{00000000-0004-0000-0100-0000FA030000}"/>
    <hyperlink ref="D1073" r:id="rId1020" xr:uid="{00000000-0004-0000-0100-0000FB030000}"/>
    <hyperlink ref="D1074" r:id="rId1021" xr:uid="{00000000-0004-0000-0100-0000FC030000}"/>
    <hyperlink ref="D1075" r:id="rId1022" xr:uid="{00000000-0004-0000-0100-0000FD030000}"/>
    <hyperlink ref="D1076" r:id="rId1023" xr:uid="{00000000-0004-0000-0100-0000FE030000}"/>
    <hyperlink ref="D1077" r:id="rId1024" xr:uid="{00000000-0004-0000-0100-0000FF030000}"/>
    <hyperlink ref="D1078" r:id="rId1025" xr:uid="{00000000-0004-0000-0100-000000040000}"/>
    <hyperlink ref="D1079" r:id="rId1026" xr:uid="{00000000-0004-0000-0100-000001040000}"/>
    <hyperlink ref="D1080" r:id="rId1027" xr:uid="{00000000-0004-0000-0100-000002040000}"/>
    <hyperlink ref="D1081" r:id="rId1028" xr:uid="{00000000-0004-0000-0100-000003040000}"/>
    <hyperlink ref="D1082" r:id="rId1029" xr:uid="{00000000-0004-0000-0100-000004040000}"/>
    <hyperlink ref="D1083" r:id="rId1030" xr:uid="{00000000-0004-0000-0100-000005040000}"/>
    <hyperlink ref="D1084" r:id="rId1031" xr:uid="{00000000-0004-0000-0100-000006040000}"/>
    <hyperlink ref="D1085" r:id="rId1032" xr:uid="{00000000-0004-0000-0100-000007040000}"/>
    <hyperlink ref="D1086" r:id="rId1033" xr:uid="{00000000-0004-0000-0100-000008040000}"/>
    <hyperlink ref="D1087" r:id="rId1034" xr:uid="{00000000-0004-0000-0100-000009040000}"/>
    <hyperlink ref="D1088" r:id="rId1035" xr:uid="{00000000-0004-0000-0100-00000A040000}"/>
    <hyperlink ref="D1089" r:id="rId1036" xr:uid="{00000000-0004-0000-0100-00000B040000}"/>
    <hyperlink ref="D1090" r:id="rId1037" xr:uid="{00000000-0004-0000-0100-00000C040000}"/>
    <hyperlink ref="E1092" r:id="rId1038" xr:uid="{00000000-0004-0000-0100-00000D040000}"/>
    <hyperlink ref="D1093" r:id="rId1039" xr:uid="{00000000-0004-0000-0100-00000E040000}"/>
    <hyperlink ref="E1093" r:id="rId1040" xr:uid="{00000000-0004-0000-0100-00000F040000}"/>
    <hyperlink ref="D1094" r:id="rId1041" xr:uid="{00000000-0004-0000-0100-000010040000}"/>
    <hyperlink ref="D1095" r:id="rId1042" xr:uid="{00000000-0004-0000-0100-000011040000}"/>
    <hyperlink ref="E1095" r:id="rId1043" xr:uid="{00000000-0004-0000-0100-000012040000}"/>
    <hyperlink ref="D1096" r:id="rId1044" xr:uid="{00000000-0004-0000-0100-000013040000}"/>
    <hyperlink ref="E1096" r:id="rId1045" xr:uid="{00000000-0004-0000-0100-000014040000}"/>
    <hyperlink ref="D1097" r:id="rId1046" xr:uid="{00000000-0004-0000-0100-000015040000}"/>
    <hyperlink ref="D1099" r:id="rId1047" xr:uid="{00000000-0004-0000-0100-000016040000}"/>
    <hyperlink ref="D1100" r:id="rId1048" xr:uid="{00000000-0004-0000-0100-000017040000}"/>
    <hyperlink ref="E1100" r:id="rId1049" xr:uid="{00000000-0004-0000-0100-000018040000}"/>
    <hyperlink ref="D1102" r:id="rId1050" xr:uid="{00000000-0004-0000-0100-000019040000}"/>
    <hyperlink ref="D1103" r:id="rId1051" xr:uid="{00000000-0004-0000-0100-00001A040000}"/>
    <hyperlink ref="D1104" r:id="rId1052" xr:uid="{00000000-0004-0000-0100-00001B040000}"/>
    <hyperlink ref="D1105" r:id="rId1053" xr:uid="{00000000-0004-0000-0100-00001C040000}"/>
    <hyperlink ref="D1106" r:id="rId1054" xr:uid="{00000000-0004-0000-0100-00001D040000}"/>
    <hyperlink ref="D1107" r:id="rId1055" xr:uid="{00000000-0004-0000-0100-00001E040000}"/>
    <hyperlink ref="D1108" r:id="rId1056" xr:uid="{00000000-0004-0000-0100-00001F040000}"/>
    <hyperlink ref="D1110" r:id="rId1057" xr:uid="{00000000-0004-0000-0100-000020040000}"/>
    <hyperlink ref="D1111" r:id="rId1058" xr:uid="{00000000-0004-0000-0100-000021040000}"/>
    <hyperlink ref="D1112" r:id="rId1059" xr:uid="{00000000-0004-0000-0100-000022040000}"/>
    <hyperlink ref="D1113" r:id="rId1060" xr:uid="{00000000-0004-0000-0100-000023040000}"/>
    <hyperlink ref="D1114" r:id="rId1061" xr:uid="{00000000-0004-0000-0100-000024040000}"/>
    <hyperlink ref="D1115" r:id="rId1062" xr:uid="{00000000-0004-0000-0100-000025040000}"/>
    <hyperlink ref="D1116" r:id="rId1063" xr:uid="{00000000-0004-0000-0100-000026040000}"/>
    <hyperlink ref="D1117" r:id="rId1064" xr:uid="{00000000-0004-0000-0100-000027040000}"/>
    <hyperlink ref="D1118" r:id="rId1065" xr:uid="{00000000-0004-0000-0100-000028040000}"/>
    <hyperlink ref="D1119" r:id="rId1066" xr:uid="{00000000-0004-0000-0100-000029040000}"/>
    <hyperlink ref="D1120" r:id="rId1067" xr:uid="{00000000-0004-0000-0100-00002A040000}"/>
    <hyperlink ref="D1121" r:id="rId1068" xr:uid="{00000000-0004-0000-0100-00002B040000}"/>
    <hyperlink ref="D1122" r:id="rId1069" xr:uid="{00000000-0004-0000-0100-00002C040000}"/>
    <hyperlink ref="D1123" r:id="rId1070" xr:uid="{00000000-0004-0000-0100-00002D040000}"/>
    <hyperlink ref="D1124" r:id="rId1071" xr:uid="{00000000-0004-0000-0100-00002E040000}"/>
    <hyperlink ref="D1125" r:id="rId1072" xr:uid="{00000000-0004-0000-0100-00002F040000}"/>
    <hyperlink ref="D1127" r:id="rId1073" xr:uid="{00000000-0004-0000-0100-000030040000}"/>
    <hyperlink ref="D1128" r:id="rId1074" xr:uid="{00000000-0004-0000-0100-000031040000}"/>
    <hyperlink ref="D1129" r:id="rId1075" xr:uid="{00000000-0004-0000-0100-000032040000}"/>
    <hyperlink ref="D1130" r:id="rId1076" xr:uid="{00000000-0004-0000-0100-000033040000}"/>
    <hyperlink ref="D1131" r:id="rId1077" xr:uid="{00000000-0004-0000-0100-000034040000}"/>
    <hyperlink ref="D1132" r:id="rId1078" xr:uid="{00000000-0004-0000-0100-000035040000}"/>
    <hyperlink ref="D1133" r:id="rId1079" xr:uid="{00000000-0004-0000-0100-000036040000}"/>
    <hyperlink ref="D1134" r:id="rId1080" xr:uid="{00000000-0004-0000-0100-000037040000}"/>
    <hyperlink ref="D1135" r:id="rId1081" xr:uid="{00000000-0004-0000-0100-000038040000}"/>
    <hyperlink ref="D1136" r:id="rId1082" xr:uid="{00000000-0004-0000-0100-000039040000}"/>
    <hyperlink ref="D1137" r:id="rId1083" xr:uid="{00000000-0004-0000-0100-00003A040000}"/>
    <hyperlink ref="D1138" r:id="rId1084" xr:uid="{00000000-0004-0000-0100-00003B040000}"/>
    <hyperlink ref="D1139" r:id="rId1085" xr:uid="{00000000-0004-0000-0100-00003C040000}"/>
    <hyperlink ref="D1140" r:id="rId1086" xr:uid="{00000000-0004-0000-0100-00003D040000}"/>
    <hyperlink ref="D1141" r:id="rId1087" xr:uid="{00000000-0004-0000-0100-00003E040000}"/>
    <hyperlink ref="D1142" r:id="rId1088" xr:uid="{00000000-0004-0000-0100-00003F040000}"/>
    <hyperlink ref="D1143" r:id="rId1089" xr:uid="{00000000-0004-0000-0100-000040040000}"/>
    <hyperlink ref="D1144" r:id="rId1090" xr:uid="{00000000-0004-0000-0100-000041040000}"/>
    <hyperlink ref="D1145" r:id="rId1091" xr:uid="{00000000-0004-0000-0100-000042040000}"/>
    <hyperlink ref="D1146" r:id="rId1092" xr:uid="{00000000-0004-0000-0100-000043040000}"/>
    <hyperlink ref="D1147" r:id="rId1093" xr:uid="{00000000-0004-0000-0100-000044040000}"/>
    <hyperlink ref="D1148" r:id="rId1094" xr:uid="{00000000-0004-0000-0100-000045040000}"/>
    <hyperlink ref="D1149" r:id="rId1095" xr:uid="{00000000-0004-0000-0100-000046040000}"/>
    <hyperlink ref="D1150" r:id="rId1096" xr:uid="{00000000-0004-0000-0100-000047040000}"/>
    <hyperlink ref="D1151" r:id="rId1097" xr:uid="{00000000-0004-0000-0100-000048040000}"/>
    <hyperlink ref="D1152" r:id="rId1098" xr:uid="{00000000-0004-0000-0100-000049040000}"/>
    <hyperlink ref="D1153" r:id="rId1099" xr:uid="{00000000-0004-0000-0100-00004A040000}"/>
    <hyperlink ref="D1154" r:id="rId1100" xr:uid="{00000000-0004-0000-0100-00004B040000}"/>
    <hyperlink ref="D1155" r:id="rId1101" xr:uid="{00000000-0004-0000-0100-00004C040000}"/>
    <hyperlink ref="D1156" r:id="rId1102" xr:uid="{00000000-0004-0000-0100-00004D040000}"/>
    <hyperlink ref="D1158" r:id="rId1103" xr:uid="{00000000-0004-0000-0100-00004E040000}"/>
    <hyperlink ref="D1159" r:id="rId1104" xr:uid="{00000000-0004-0000-0100-00004F040000}"/>
    <hyperlink ref="D1160" r:id="rId1105" xr:uid="{00000000-0004-0000-0100-000050040000}"/>
    <hyperlink ref="D1161" r:id="rId1106" xr:uid="{00000000-0004-0000-0100-000051040000}"/>
    <hyperlink ref="D1162" r:id="rId1107" xr:uid="{00000000-0004-0000-0100-000052040000}"/>
    <hyperlink ref="D1163" r:id="rId1108" xr:uid="{00000000-0004-0000-0100-000053040000}"/>
    <hyperlink ref="D1164" r:id="rId1109" xr:uid="{00000000-0004-0000-0100-000054040000}"/>
    <hyperlink ref="D1165" r:id="rId1110" xr:uid="{00000000-0004-0000-0100-000055040000}"/>
    <hyperlink ref="D1166" r:id="rId1111" xr:uid="{00000000-0004-0000-0100-000056040000}"/>
    <hyperlink ref="D1167" r:id="rId1112" xr:uid="{00000000-0004-0000-0100-000057040000}"/>
    <hyperlink ref="D1168" r:id="rId1113" xr:uid="{00000000-0004-0000-0100-000058040000}"/>
    <hyperlink ref="D1169" r:id="rId1114" xr:uid="{00000000-0004-0000-0100-000059040000}"/>
    <hyperlink ref="D1170" r:id="rId1115" xr:uid="{00000000-0004-0000-0100-00005A040000}"/>
    <hyperlink ref="D1171" r:id="rId1116" xr:uid="{00000000-0004-0000-0100-00005B040000}"/>
    <hyperlink ref="D1173" r:id="rId1117" xr:uid="{00000000-0004-0000-0100-00005C040000}"/>
    <hyperlink ref="D1174" r:id="rId1118" xr:uid="{00000000-0004-0000-0100-00005D040000}"/>
    <hyperlink ref="D1175" r:id="rId1119" xr:uid="{00000000-0004-0000-0100-00005E040000}"/>
    <hyperlink ref="D1176" r:id="rId1120" xr:uid="{00000000-0004-0000-0100-00005F040000}"/>
    <hyperlink ref="D1177" r:id="rId1121" xr:uid="{00000000-0004-0000-0100-000060040000}"/>
    <hyperlink ref="D1178" r:id="rId1122" xr:uid="{00000000-0004-0000-0100-000061040000}"/>
    <hyperlink ref="D1179" r:id="rId1123" xr:uid="{00000000-0004-0000-0100-000062040000}"/>
    <hyperlink ref="D1180" r:id="rId1124" xr:uid="{00000000-0004-0000-0100-000063040000}"/>
    <hyperlink ref="D1181" r:id="rId1125" xr:uid="{00000000-0004-0000-0100-000064040000}"/>
    <hyperlink ref="D1182" r:id="rId1126" xr:uid="{00000000-0004-0000-0100-000065040000}"/>
    <hyperlink ref="D1183" r:id="rId1127" xr:uid="{00000000-0004-0000-0100-000066040000}"/>
    <hyperlink ref="D1184" r:id="rId1128" xr:uid="{00000000-0004-0000-0100-000067040000}"/>
    <hyperlink ref="D1185" r:id="rId1129" xr:uid="{00000000-0004-0000-0100-000068040000}"/>
    <hyperlink ref="D1186" r:id="rId1130" xr:uid="{00000000-0004-0000-0100-000069040000}"/>
    <hyperlink ref="D1188" r:id="rId1131" xr:uid="{00000000-0004-0000-0100-00006A040000}"/>
    <hyperlink ref="E1188" r:id="rId1132" xr:uid="{00000000-0004-0000-0100-00006B040000}"/>
    <hyperlink ref="D1189" r:id="rId1133" xr:uid="{00000000-0004-0000-0100-00006C040000}"/>
    <hyperlink ref="E1189" r:id="rId1134" xr:uid="{00000000-0004-0000-0100-00006D040000}"/>
    <hyperlink ref="D1190" r:id="rId1135" xr:uid="{00000000-0004-0000-0100-00006E040000}"/>
    <hyperlink ref="E1190" r:id="rId1136" xr:uid="{00000000-0004-0000-0100-00006F040000}"/>
    <hyperlink ref="D1191" r:id="rId1137" xr:uid="{00000000-0004-0000-0100-000070040000}"/>
    <hyperlink ref="E1191" r:id="rId1138" xr:uid="{00000000-0004-0000-0100-000071040000}"/>
    <hyperlink ref="D1192" r:id="rId1139" xr:uid="{00000000-0004-0000-0100-000072040000}"/>
    <hyperlink ref="D1193" r:id="rId1140" xr:uid="{00000000-0004-0000-0100-000073040000}"/>
    <hyperlink ref="D1194" r:id="rId1141" xr:uid="{00000000-0004-0000-0100-000074040000}"/>
    <hyperlink ref="D1195" r:id="rId1142" xr:uid="{00000000-0004-0000-0100-000075040000}"/>
    <hyperlink ref="E1195" r:id="rId1143" xr:uid="{00000000-0004-0000-0100-000076040000}"/>
    <hyperlink ref="D1196" r:id="rId1144" xr:uid="{00000000-0004-0000-0100-000077040000}"/>
    <hyperlink ref="D1197" r:id="rId1145" xr:uid="{00000000-0004-0000-0100-000078040000}"/>
    <hyperlink ref="D1198" r:id="rId1146" xr:uid="{00000000-0004-0000-0100-000079040000}"/>
    <hyperlink ref="D1199" r:id="rId1147" xr:uid="{00000000-0004-0000-0100-00007A040000}"/>
    <hyperlink ref="D1200" r:id="rId1148" xr:uid="{00000000-0004-0000-0100-00007B040000}"/>
    <hyperlink ref="D1201" r:id="rId1149" xr:uid="{00000000-0004-0000-0100-00007C040000}"/>
    <hyperlink ref="D1202" r:id="rId1150" xr:uid="{00000000-0004-0000-0100-00007D040000}"/>
    <hyperlink ref="D1203" r:id="rId1151" xr:uid="{00000000-0004-0000-0100-00007E040000}"/>
    <hyperlink ref="D1204" r:id="rId1152" xr:uid="{00000000-0004-0000-0100-00007F040000}"/>
    <hyperlink ref="D1205" r:id="rId1153" xr:uid="{00000000-0004-0000-0100-000080040000}"/>
    <hyperlink ref="D1206" r:id="rId1154" xr:uid="{00000000-0004-0000-0100-000081040000}"/>
    <hyperlink ref="D1207" r:id="rId1155" xr:uid="{00000000-0004-0000-0100-000082040000}"/>
    <hyperlink ref="D1208" r:id="rId1156" xr:uid="{00000000-0004-0000-0100-000083040000}"/>
    <hyperlink ref="D1209" r:id="rId1157" xr:uid="{00000000-0004-0000-0100-000084040000}"/>
    <hyperlink ref="D1210" r:id="rId1158" xr:uid="{00000000-0004-0000-0100-000085040000}"/>
    <hyperlink ref="D1211" r:id="rId1159" xr:uid="{00000000-0004-0000-0100-000086040000}"/>
    <hyperlink ref="D1212" r:id="rId1160" xr:uid="{00000000-0004-0000-0100-000087040000}"/>
    <hyperlink ref="D1213" r:id="rId1161" xr:uid="{00000000-0004-0000-0100-000088040000}"/>
    <hyperlink ref="D1214" r:id="rId1162" xr:uid="{00000000-0004-0000-0100-000089040000}"/>
    <hyperlink ref="D1215" r:id="rId1163" xr:uid="{00000000-0004-0000-0100-00008A040000}"/>
    <hyperlink ref="D1216" r:id="rId1164" xr:uid="{00000000-0004-0000-0100-00008B040000}"/>
    <hyperlink ref="D1217" r:id="rId1165" xr:uid="{00000000-0004-0000-0100-00008C040000}"/>
    <hyperlink ref="D1218" r:id="rId1166" xr:uid="{00000000-0004-0000-0100-00008D040000}"/>
    <hyperlink ref="D1219" r:id="rId1167" xr:uid="{00000000-0004-0000-0100-00008E040000}"/>
    <hyperlink ref="D1220" r:id="rId1168" xr:uid="{00000000-0004-0000-0100-00008F040000}"/>
    <hyperlink ref="D1221" r:id="rId1169" xr:uid="{00000000-0004-0000-0100-000090040000}"/>
    <hyperlink ref="D1222" r:id="rId1170" xr:uid="{00000000-0004-0000-0100-000091040000}"/>
    <hyperlink ref="D1223" r:id="rId1171" xr:uid="{00000000-0004-0000-0100-000092040000}"/>
    <hyperlink ref="D1224" r:id="rId1172" xr:uid="{00000000-0004-0000-0100-000093040000}"/>
    <hyperlink ref="D1225" r:id="rId1173" xr:uid="{00000000-0004-0000-0100-000094040000}"/>
    <hyperlink ref="D1226" r:id="rId1174" xr:uid="{00000000-0004-0000-0100-000095040000}"/>
    <hyperlink ref="D1227" r:id="rId1175" xr:uid="{00000000-0004-0000-0100-000096040000}"/>
    <hyperlink ref="D1228" r:id="rId1176" xr:uid="{00000000-0004-0000-0100-000097040000}"/>
    <hyperlink ref="D1229" r:id="rId1177" xr:uid="{00000000-0004-0000-0100-000098040000}"/>
    <hyperlink ref="D1230" r:id="rId1178" xr:uid="{00000000-0004-0000-0100-000099040000}"/>
    <hyperlink ref="D1231" r:id="rId1179" xr:uid="{00000000-0004-0000-0100-00009A040000}"/>
    <hyperlink ref="D1232" r:id="rId1180" xr:uid="{00000000-0004-0000-0100-00009B040000}"/>
    <hyperlink ref="D1233" r:id="rId1181" xr:uid="{00000000-0004-0000-0100-00009C040000}"/>
    <hyperlink ref="D1234" r:id="rId1182" xr:uid="{00000000-0004-0000-0100-00009D040000}"/>
    <hyperlink ref="D1235" r:id="rId1183" xr:uid="{00000000-0004-0000-0100-00009E040000}"/>
    <hyperlink ref="D1236" r:id="rId1184" xr:uid="{00000000-0004-0000-0100-00009F040000}"/>
    <hyperlink ref="D1237" r:id="rId1185" xr:uid="{00000000-0004-0000-0100-0000A0040000}"/>
    <hyperlink ref="D1238" r:id="rId1186" xr:uid="{00000000-0004-0000-0100-0000A1040000}"/>
    <hyperlink ref="D1239" r:id="rId1187" xr:uid="{00000000-0004-0000-0100-0000A2040000}"/>
    <hyperlink ref="D1240" r:id="rId1188" xr:uid="{00000000-0004-0000-0100-0000A3040000}"/>
    <hyperlink ref="D1241" r:id="rId1189" xr:uid="{00000000-0004-0000-0100-0000A4040000}"/>
    <hyperlink ref="D1242" r:id="rId1190" xr:uid="{00000000-0004-0000-0100-0000A5040000}"/>
    <hyperlink ref="D1243" r:id="rId1191" xr:uid="{00000000-0004-0000-0100-0000A6040000}"/>
    <hyperlink ref="D1244" r:id="rId1192" xr:uid="{00000000-0004-0000-0100-0000A7040000}"/>
    <hyperlink ref="D1245" r:id="rId1193" xr:uid="{00000000-0004-0000-0100-0000A8040000}"/>
    <hyperlink ref="D1246" r:id="rId1194" xr:uid="{00000000-0004-0000-0100-0000A9040000}"/>
    <hyperlink ref="D1247" r:id="rId1195" xr:uid="{00000000-0004-0000-0100-0000AA040000}"/>
    <hyperlink ref="D1248" r:id="rId1196" xr:uid="{00000000-0004-0000-0100-0000AB040000}"/>
    <hyperlink ref="D1249" r:id="rId1197" xr:uid="{00000000-0004-0000-0100-0000AC040000}"/>
    <hyperlink ref="D1250" r:id="rId1198" xr:uid="{00000000-0004-0000-0100-0000AD040000}"/>
    <hyperlink ref="D1251" r:id="rId1199" xr:uid="{00000000-0004-0000-0100-0000AE040000}"/>
    <hyperlink ref="D1252" r:id="rId1200" xr:uid="{00000000-0004-0000-0100-0000AF040000}"/>
    <hyperlink ref="D1254" r:id="rId1201" xr:uid="{00000000-0004-0000-0100-0000B0040000}"/>
    <hyperlink ref="D1255" r:id="rId1202" xr:uid="{00000000-0004-0000-0100-0000B1040000}"/>
    <hyperlink ref="E1255" r:id="rId1203" xr:uid="{00000000-0004-0000-0100-0000B2040000}"/>
    <hyperlink ref="D1256" r:id="rId1204" xr:uid="{00000000-0004-0000-0100-0000B3040000}"/>
    <hyperlink ref="E1256" r:id="rId1205" xr:uid="{00000000-0004-0000-0100-0000B4040000}"/>
    <hyperlink ref="D1257" r:id="rId1206" xr:uid="{00000000-0004-0000-0100-0000B5040000}"/>
    <hyperlink ref="E1257" r:id="rId1207" xr:uid="{00000000-0004-0000-0100-0000B6040000}"/>
    <hyperlink ref="D1258" r:id="rId1208" xr:uid="{00000000-0004-0000-0100-0000B7040000}"/>
    <hyperlink ref="E1258" r:id="rId1209" xr:uid="{00000000-0004-0000-0100-0000B8040000}"/>
    <hyperlink ref="D1260" r:id="rId1210" xr:uid="{00000000-0004-0000-0100-0000B9040000}"/>
    <hyperlink ref="D1261" r:id="rId1211" xr:uid="{00000000-0004-0000-0100-0000BA040000}"/>
    <hyperlink ref="E1261" r:id="rId1212" xr:uid="{00000000-0004-0000-0100-0000BB040000}"/>
    <hyperlink ref="D1262" r:id="rId1213" xr:uid="{00000000-0004-0000-0100-0000BC040000}"/>
    <hyperlink ref="D1263" r:id="rId1214" xr:uid="{00000000-0004-0000-0100-0000BD040000}"/>
    <hyperlink ref="D1264" r:id="rId1215" xr:uid="{00000000-0004-0000-0100-0000BE040000}"/>
    <hyperlink ref="D1265" r:id="rId1216" xr:uid="{00000000-0004-0000-0100-0000BF040000}"/>
    <hyperlink ref="D1266" r:id="rId1217" xr:uid="{00000000-0004-0000-0100-0000C0040000}"/>
    <hyperlink ref="D1267" r:id="rId1218" xr:uid="{00000000-0004-0000-0100-0000C1040000}"/>
    <hyperlink ref="D1268" r:id="rId1219" xr:uid="{00000000-0004-0000-0100-0000C2040000}"/>
    <hyperlink ref="D1269" r:id="rId1220" xr:uid="{00000000-0004-0000-0100-0000C3040000}"/>
    <hyperlink ref="D1270" r:id="rId1221" xr:uid="{00000000-0004-0000-0100-0000C4040000}"/>
    <hyperlink ref="D1271" r:id="rId1222" xr:uid="{00000000-0004-0000-0100-0000C5040000}"/>
    <hyperlink ref="D1272" r:id="rId1223" xr:uid="{00000000-0004-0000-0100-0000C6040000}"/>
    <hyperlink ref="D1273" r:id="rId1224" xr:uid="{00000000-0004-0000-0100-0000C7040000}"/>
    <hyperlink ref="D1274" r:id="rId1225" xr:uid="{00000000-0004-0000-0100-0000C8040000}"/>
    <hyperlink ref="D1275" r:id="rId1226" xr:uid="{00000000-0004-0000-0100-0000C9040000}"/>
    <hyperlink ref="D1276" r:id="rId1227" xr:uid="{00000000-0004-0000-0100-0000CA040000}"/>
    <hyperlink ref="D1277" r:id="rId1228" xr:uid="{00000000-0004-0000-0100-0000CB040000}"/>
    <hyperlink ref="D1278" r:id="rId1229" xr:uid="{00000000-0004-0000-0100-0000CC040000}"/>
    <hyperlink ref="D1279" r:id="rId1230" xr:uid="{00000000-0004-0000-0100-0000CD040000}"/>
    <hyperlink ref="D1280" r:id="rId1231" xr:uid="{00000000-0004-0000-0100-0000CE040000}"/>
    <hyperlink ref="D1282" r:id="rId1232" xr:uid="{00000000-0004-0000-0100-0000CF040000}"/>
    <hyperlink ref="D1283" r:id="rId1233" xr:uid="{00000000-0004-0000-0100-0000D0040000}"/>
    <hyperlink ref="D1284" r:id="rId1234" xr:uid="{00000000-0004-0000-0100-0000D1040000}"/>
    <hyperlink ref="D1286" r:id="rId1235" xr:uid="{00000000-0004-0000-0100-0000D2040000}"/>
    <hyperlink ref="D1287" r:id="rId1236" xr:uid="{00000000-0004-0000-0100-0000D3040000}"/>
    <hyperlink ref="D1288" r:id="rId1237" xr:uid="{00000000-0004-0000-0100-0000D4040000}"/>
    <hyperlink ref="D1289" r:id="rId1238" xr:uid="{00000000-0004-0000-0100-0000D5040000}"/>
    <hyperlink ref="D1290" r:id="rId1239" xr:uid="{00000000-0004-0000-0100-0000D6040000}"/>
    <hyperlink ref="D1292" r:id="rId1240" xr:uid="{00000000-0004-0000-0100-0000D7040000}"/>
    <hyperlink ref="D1293" r:id="rId1241" xr:uid="{00000000-0004-0000-0100-0000D8040000}"/>
    <hyperlink ref="D1294" r:id="rId1242" xr:uid="{00000000-0004-0000-0100-0000D9040000}"/>
    <hyperlink ref="D1295" r:id="rId1243" xr:uid="{00000000-0004-0000-0100-0000DA040000}"/>
    <hyperlink ref="D1296" r:id="rId1244" xr:uid="{00000000-0004-0000-0100-0000DB040000}"/>
    <hyperlink ref="D1297" r:id="rId1245" xr:uid="{00000000-0004-0000-0100-0000DC040000}"/>
    <hyperlink ref="D1298" r:id="rId1246" xr:uid="{00000000-0004-0000-0100-0000DD040000}"/>
    <hyperlink ref="D1299" r:id="rId1247" xr:uid="{00000000-0004-0000-0100-0000DE040000}"/>
    <hyperlink ref="D1300" r:id="rId1248" xr:uid="{00000000-0004-0000-0100-0000DF040000}"/>
    <hyperlink ref="D1301" r:id="rId1249" xr:uid="{00000000-0004-0000-0100-0000E0040000}"/>
    <hyperlink ref="D1302" r:id="rId1250" xr:uid="{00000000-0004-0000-0100-0000E1040000}"/>
    <hyperlink ref="D1303" r:id="rId1251" xr:uid="{00000000-0004-0000-0100-0000E2040000}"/>
    <hyperlink ref="D1304" r:id="rId1252" xr:uid="{00000000-0004-0000-0100-0000E3040000}"/>
    <hyperlink ref="D1305" r:id="rId1253" xr:uid="{00000000-0004-0000-0100-0000E4040000}"/>
    <hyperlink ref="D1306" r:id="rId1254" xr:uid="{00000000-0004-0000-0100-0000E5040000}"/>
    <hyperlink ref="D1307" r:id="rId1255" xr:uid="{00000000-0004-0000-0100-0000E6040000}"/>
    <hyperlink ref="D1308" r:id="rId1256" xr:uid="{00000000-0004-0000-0100-0000E7040000}"/>
    <hyperlink ref="D1309" r:id="rId1257" xr:uid="{00000000-0004-0000-0100-0000E8040000}"/>
    <hyperlink ref="D1310" r:id="rId1258" xr:uid="{00000000-0004-0000-0100-0000E9040000}"/>
    <hyperlink ref="D1311" r:id="rId1259" xr:uid="{00000000-0004-0000-0100-0000EA040000}"/>
    <hyperlink ref="D1312" r:id="rId1260" xr:uid="{00000000-0004-0000-0100-0000EB040000}"/>
    <hyperlink ref="D1313" r:id="rId1261" xr:uid="{00000000-0004-0000-0100-0000EC040000}"/>
    <hyperlink ref="D1314" r:id="rId1262" xr:uid="{00000000-0004-0000-0100-0000ED040000}"/>
    <hyperlink ref="D1315" r:id="rId1263" xr:uid="{00000000-0004-0000-0100-0000EE040000}"/>
    <hyperlink ref="D1316" r:id="rId1264" xr:uid="{00000000-0004-0000-0100-0000EF040000}"/>
    <hyperlink ref="D1317" r:id="rId1265" xr:uid="{00000000-0004-0000-0100-0000F0040000}"/>
    <hyperlink ref="D1318" r:id="rId1266" xr:uid="{00000000-0004-0000-0100-0000F1040000}"/>
    <hyperlink ref="D1319" r:id="rId1267" xr:uid="{00000000-0004-0000-0100-0000F2040000}"/>
    <hyperlink ref="D1320" r:id="rId1268" xr:uid="{00000000-0004-0000-0100-0000F3040000}"/>
    <hyperlink ref="D1321" r:id="rId1269" xr:uid="{00000000-0004-0000-0100-0000F4040000}"/>
    <hyperlink ref="D1323" r:id="rId1270" xr:uid="{00000000-0004-0000-0100-0000F5040000}"/>
    <hyperlink ref="E1323" r:id="rId1271" xr:uid="{00000000-0004-0000-0100-0000F6040000}"/>
    <hyperlink ref="D1324" r:id="rId1272" xr:uid="{00000000-0004-0000-0100-0000F7040000}"/>
    <hyperlink ref="E1324" r:id="rId1273" xr:uid="{00000000-0004-0000-0100-0000F8040000}"/>
    <hyperlink ref="D1325" r:id="rId1274" xr:uid="{00000000-0004-0000-0100-0000F9040000}"/>
    <hyperlink ref="D1326" r:id="rId1275" xr:uid="{00000000-0004-0000-0100-0000FA040000}"/>
    <hyperlink ref="D1327" r:id="rId1276" xr:uid="{00000000-0004-0000-0100-0000FB040000}"/>
    <hyperlink ref="D1328" r:id="rId1277" xr:uid="{00000000-0004-0000-0100-0000FC040000}"/>
    <hyperlink ref="D1329" r:id="rId1278" xr:uid="{00000000-0004-0000-0100-0000FD040000}"/>
    <hyperlink ref="D1330" r:id="rId1279" xr:uid="{00000000-0004-0000-0100-0000FE040000}"/>
    <hyperlink ref="D1331" r:id="rId1280" xr:uid="{00000000-0004-0000-0100-0000FF040000}"/>
    <hyperlink ref="D1332" r:id="rId1281" xr:uid="{00000000-0004-0000-0100-000000050000}"/>
    <hyperlink ref="D1333" r:id="rId1282" xr:uid="{00000000-0004-0000-0100-000001050000}"/>
    <hyperlink ref="D1334" r:id="rId1283" xr:uid="{00000000-0004-0000-0100-000002050000}"/>
    <hyperlink ref="D1335" r:id="rId1284" xr:uid="{00000000-0004-0000-0100-000003050000}"/>
    <hyperlink ref="D1336" r:id="rId1285" xr:uid="{00000000-0004-0000-0100-000004050000}"/>
    <hyperlink ref="D1337" r:id="rId1286" xr:uid="{00000000-0004-0000-0100-000005050000}"/>
    <hyperlink ref="D1338" r:id="rId1287" xr:uid="{00000000-0004-0000-0100-000006050000}"/>
    <hyperlink ref="D1339" r:id="rId1288" xr:uid="{00000000-0004-0000-0100-000007050000}"/>
    <hyperlink ref="D1340" r:id="rId1289" xr:uid="{00000000-0004-0000-0100-000008050000}"/>
    <hyperlink ref="D1341" r:id="rId1290" xr:uid="{00000000-0004-0000-0100-000009050000}"/>
    <hyperlink ref="D1342" r:id="rId1291" xr:uid="{00000000-0004-0000-0100-00000A050000}"/>
    <hyperlink ref="D1343" r:id="rId1292" xr:uid="{00000000-0004-0000-0100-00000B050000}"/>
    <hyperlink ref="D1344" r:id="rId1293" xr:uid="{00000000-0004-0000-0100-00000C050000}"/>
    <hyperlink ref="D1345" r:id="rId1294" xr:uid="{00000000-0004-0000-0100-00000D050000}"/>
    <hyperlink ref="D1346" r:id="rId1295" xr:uid="{00000000-0004-0000-0100-00000E050000}"/>
    <hyperlink ref="D1347" r:id="rId1296" xr:uid="{00000000-0004-0000-0100-00000F050000}"/>
    <hyperlink ref="D1348" r:id="rId1297" xr:uid="{00000000-0004-0000-0100-000010050000}"/>
    <hyperlink ref="D1349" r:id="rId1298" xr:uid="{00000000-0004-0000-0100-000011050000}"/>
    <hyperlink ref="D1350" r:id="rId1299" xr:uid="{00000000-0004-0000-0100-000012050000}"/>
    <hyperlink ref="D1351" r:id="rId1300" xr:uid="{00000000-0004-0000-0100-000013050000}"/>
    <hyperlink ref="D1352" r:id="rId1301" xr:uid="{00000000-0004-0000-0100-000014050000}"/>
    <hyperlink ref="D1353" r:id="rId1302" xr:uid="{00000000-0004-0000-0100-000015050000}"/>
    <hyperlink ref="D1354" r:id="rId1303" xr:uid="{00000000-0004-0000-0100-000016050000}"/>
    <hyperlink ref="D1355" r:id="rId1304" xr:uid="{00000000-0004-0000-0100-000017050000}"/>
    <hyperlink ref="D1356" r:id="rId1305" xr:uid="{00000000-0004-0000-0100-000018050000}"/>
    <hyperlink ref="D1357" r:id="rId1306" xr:uid="{00000000-0004-0000-0100-000019050000}"/>
    <hyperlink ref="D1358" r:id="rId1307" xr:uid="{00000000-0004-0000-0100-00001A050000}"/>
    <hyperlink ref="D1359" r:id="rId1308" xr:uid="{00000000-0004-0000-0100-00001B050000}"/>
    <hyperlink ref="D1360" r:id="rId1309" xr:uid="{00000000-0004-0000-0100-00001C050000}"/>
    <hyperlink ref="D1361" r:id="rId1310" xr:uid="{00000000-0004-0000-0100-00001D050000}"/>
    <hyperlink ref="D1362" r:id="rId1311" xr:uid="{00000000-0004-0000-0100-00001E050000}"/>
    <hyperlink ref="D1363" r:id="rId1312" xr:uid="{00000000-0004-0000-0100-00001F050000}"/>
    <hyperlink ref="D1364" r:id="rId1313" xr:uid="{00000000-0004-0000-0100-000020050000}"/>
    <hyperlink ref="D1365" r:id="rId1314" xr:uid="{00000000-0004-0000-0100-000021050000}"/>
    <hyperlink ref="D1366" r:id="rId1315" xr:uid="{00000000-0004-0000-0100-000022050000}"/>
    <hyperlink ref="D1367" r:id="rId1316" xr:uid="{00000000-0004-0000-0100-000023050000}"/>
    <hyperlink ref="D1368" r:id="rId1317" xr:uid="{00000000-0004-0000-0100-000024050000}"/>
    <hyperlink ref="D1369" r:id="rId1318" xr:uid="{00000000-0004-0000-0100-000025050000}"/>
    <hyperlink ref="D1370" r:id="rId1319" xr:uid="{00000000-0004-0000-0100-000026050000}"/>
    <hyperlink ref="D1373" r:id="rId1320" xr:uid="{00000000-0004-0000-0100-000027050000}"/>
    <hyperlink ref="E1373" r:id="rId1321" xr:uid="{00000000-0004-0000-0100-000028050000}"/>
    <hyperlink ref="D1374" r:id="rId1322" xr:uid="{00000000-0004-0000-0100-000029050000}"/>
    <hyperlink ref="E1374" r:id="rId1323" xr:uid="{00000000-0004-0000-0100-00002A050000}"/>
    <hyperlink ref="D1375" r:id="rId1324" xr:uid="{00000000-0004-0000-0100-00002B050000}"/>
    <hyperlink ref="D1376" r:id="rId1325" xr:uid="{00000000-0004-0000-0100-00002C050000}"/>
    <hyperlink ref="D1377" r:id="rId1326" xr:uid="{00000000-0004-0000-0100-00002D050000}"/>
    <hyperlink ref="D1378" r:id="rId1327" xr:uid="{00000000-0004-0000-0100-00002E050000}"/>
    <hyperlink ref="D1379" r:id="rId1328" xr:uid="{00000000-0004-0000-0100-00002F050000}"/>
    <hyperlink ref="D1380" r:id="rId1329" xr:uid="{00000000-0004-0000-0100-000030050000}"/>
    <hyperlink ref="D1381" r:id="rId1330" xr:uid="{00000000-0004-0000-0100-000031050000}"/>
    <hyperlink ref="D1382" r:id="rId1331" xr:uid="{00000000-0004-0000-0100-000032050000}"/>
    <hyperlink ref="D1383" r:id="rId1332" xr:uid="{00000000-0004-0000-0100-000033050000}"/>
    <hyperlink ref="D1384" r:id="rId1333" xr:uid="{00000000-0004-0000-0100-000034050000}"/>
    <hyperlink ref="D1385" r:id="rId1334" xr:uid="{00000000-0004-0000-0100-000035050000}"/>
    <hyperlink ref="D1386" r:id="rId1335" xr:uid="{00000000-0004-0000-0100-000036050000}"/>
    <hyperlink ref="D1387" r:id="rId1336" xr:uid="{00000000-0004-0000-0100-000037050000}"/>
    <hyperlink ref="D1388" r:id="rId1337" xr:uid="{00000000-0004-0000-0100-000038050000}"/>
    <hyperlink ref="E1388" r:id="rId1338" xr:uid="{00000000-0004-0000-0100-000039050000}"/>
    <hyperlink ref="D1389" r:id="rId1339" xr:uid="{00000000-0004-0000-0100-00003A050000}"/>
    <hyperlink ref="D1390" r:id="rId1340" xr:uid="{00000000-0004-0000-0100-00003B050000}"/>
    <hyperlink ref="D1391" r:id="rId1341" xr:uid="{00000000-0004-0000-0100-00003C050000}"/>
    <hyperlink ref="D1392" r:id="rId1342" xr:uid="{00000000-0004-0000-0100-00003D050000}"/>
    <hyperlink ref="D1393" r:id="rId1343" xr:uid="{00000000-0004-0000-0100-00003E050000}"/>
    <hyperlink ref="D1394" r:id="rId1344" xr:uid="{00000000-0004-0000-0100-00003F050000}"/>
    <hyperlink ref="D1395" r:id="rId1345" xr:uid="{00000000-0004-0000-0100-000040050000}"/>
    <hyperlink ref="D1396" r:id="rId1346" xr:uid="{00000000-0004-0000-0100-000041050000}"/>
    <hyperlink ref="D1397" r:id="rId1347" xr:uid="{00000000-0004-0000-0100-000042050000}"/>
    <hyperlink ref="D1398" r:id="rId1348" xr:uid="{00000000-0004-0000-0100-000043050000}"/>
    <hyperlink ref="D1399" r:id="rId1349" xr:uid="{00000000-0004-0000-0100-000044050000}"/>
    <hyperlink ref="D1400" r:id="rId1350" xr:uid="{00000000-0004-0000-0100-000045050000}"/>
    <hyperlink ref="D1402" r:id="rId1351" xr:uid="{00000000-0004-0000-0100-000046050000}"/>
    <hyperlink ref="D1403" r:id="rId1352" xr:uid="{00000000-0004-0000-0100-000047050000}"/>
    <hyperlink ref="D1404" r:id="rId1353" xr:uid="{00000000-0004-0000-0100-000048050000}"/>
    <hyperlink ref="D1405" r:id="rId1354" xr:uid="{00000000-0004-0000-0100-000049050000}"/>
    <hyperlink ref="D1406" r:id="rId1355" xr:uid="{00000000-0004-0000-0100-00004A050000}"/>
    <hyperlink ref="D1407" r:id="rId1356" xr:uid="{00000000-0004-0000-0100-00004B050000}"/>
    <hyperlink ref="D1408" r:id="rId1357" xr:uid="{00000000-0004-0000-0100-00004C050000}"/>
    <hyperlink ref="D1409" r:id="rId1358" xr:uid="{00000000-0004-0000-0100-00004D050000}"/>
    <hyperlink ref="D1410" r:id="rId1359" xr:uid="{00000000-0004-0000-0100-00004E050000}"/>
    <hyperlink ref="D1411" r:id="rId1360" xr:uid="{00000000-0004-0000-0100-00004F050000}"/>
    <hyperlink ref="D1412" r:id="rId1361" xr:uid="{00000000-0004-0000-0100-000050050000}"/>
    <hyperlink ref="D1413" r:id="rId1362" xr:uid="{00000000-0004-0000-0100-000051050000}"/>
    <hyperlink ref="D1414" r:id="rId1363" xr:uid="{00000000-0004-0000-0100-000052050000}"/>
    <hyperlink ref="D1415" r:id="rId1364" xr:uid="{00000000-0004-0000-0100-000053050000}"/>
    <hyperlink ref="D1416" r:id="rId1365" xr:uid="{00000000-0004-0000-0100-000054050000}"/>
    <hyperlink ref="D1417" r:id="rId1366" xr:uid="{00000000-0004-0000-0100-000055050000}"/>
    <hyperlink ref="D1418" r:id="rId1367" xr:uid="{00000000-0004-0000-0100-000056050000}"/>
    <hyperlink ref="D1419" r:id="rId1368" xr:uid="{00000000-0004-0000-0100-000057050000}"/>
    <hyperlink ref="D1420" r:id="rId1369" xr:uid="{00000000-0004-0000-0100-000058050000}"/>
    <hyperlink ref="D1421" r:id="rId1370" xr:uid="{00000000-0004-0000-0100-000059050000}"/>
    <hyperlink ref="D1422" r:id="rId1371" xr:uid="{00000000-0004-0000-0100-00005A050000}"/>
    <hyperlink ref="D1424" r:id="rId1372" xr:uid="{00000000-0004-0000-0100-00005B050000}"/>
    <hyperlink ref="D1425" r:id="rId1373" xr:uid="{00000000-0004-0000-0100-00005C050000}"/>
    <hyperlink ref="D1426" r:id="rId1374" xr:uid="{00000000-0004-0000-0100-00005D050000}"/>
    <hyperlink ref="D1427" r:id="rId1375" xr:uid="{00000000-0004-0000-0100-00005E050000}"/>
    <hyperlink ref="D1428" r:id="rId1376" xr:uid="{00000000-0004-0000-0100-00005F050000}"/>
    <hyperlink ref="D1429" r:id="rId1377" xr:uid="{00000000-0004-0000-0100-000060050000}"/>
    <hyperlink ref="D1430" r:id="rId1378" xr:uid="{00000000-0004-0000-0100-000061050000}"/>
    <hyperlink ref="D1431" r:id="rId1379" xr:uid="{00000000-0004-0000-0100-000062050000}"/>
    <hyperlink ref="E1434" r:id="rId1380" xr:uid="{00000000-0004-0000-0100-000063050000}"/>
    <hyperlink ref="D1436" r:id="rId1381" xr:uid="{00000000-0004-0000-0100-000064050000}"/>
    <hyperlink ref="D1438" r:id="rId1382" xr:uid="{00000000-0004-0000-0100-000065050000}"/>
    <hyperlink ref="D1439" r:id="rId1383" xr:uid="{00000000-0004-0000-0100-000066050000}"/>
    <hyperlink ref="D1444" r:id="rId1384" xr:uid="{00000000-0004-0000-0100-000067050000}"/>
    <hyperlink ref="D1445" r:id="rId1385" xr:uid="{00000000-0004-0000-0100-000068050000}"/>
    <hyperlink ref="D1446" r:id="rId1386" xr:uid="{00000000-0004-0000-0100-000069050000}"/>
    <hyperlink ref="D1447" r:id="rId1387" xr:uid="{00000000-0004-0000-0100-00006A050000}"/>
    <hyperlink ref="D1448" r:id="rId1388" xr:uid="{00000000-0004-0000-0100-00006B050000}"/>
    <hyperlink ref="D1449" r:id="rId1389" xr:uid="{00000000-0004-0000-0100-00006C050000}"/>
    <hyperlink ref="D1450" r:id="rId1390" xr:uid="{00000000-0004-0000-0100-00006D050000}"/>
    <hyperlink ref="D1451" r:id="rId1391" xr:uid="{00000000-0004-0000-0100-00006E050000}"/>
    <hyperlink ref="D1452" r:id="rId1392" xr:uid="{00000000-0004-0000-0100-00006F050000}"/>
    <hyperlink ref="D1453" r:id="rId1393" xr:uid="{00000000-0004-0000-0100-000070050000}"/>
    <hyperlink ref="D1454" r:id="rId1394" xr:uid="{00000000-0004-0000-0100-000071050000}"/>
    <hyperlink ref="D1455" r:id="rId1395" xr:uid="{00000000-0004-0000-0100-000072050000}"/>
    <hyperlink ref="D1456" r:id="rId1396" xr:uid="{00000000-0004-0000-0100-000073050000}"/>
    <hyperlink ref="D1457" r:id="rId1397" xr:uid="{00000000-0004-0000-0100-000074050000}"/>
    <hyperlink ref="D1458" r:id="rId1398" xr:uid="{00000000-0004-0000-0100-000075050000}"/>
    <hyperlink ref="D1459" r:id="rId1399" xr:uid="{00000000-0004-0000-0100-000076050000}"/>
    <hyperlink ref="D1460" r:id="rId1400" xr:uid="{00000000-0004-0000-0100-000077050000}"/>
    <hyperlink ref="D1462" r:id="rId1401" xr:uid="{00000000-0004-0000-0100-000078050000}"/>
    <hyperlink ref="D1463" r:id="rId1402" xr:uid="{00000000-0004-0000-0100-000079050000}"/>
    <hyperlink ref="D1464" r:id="rId1403" xr:uid="{00000000-0004-0000-0100-00007A050000}"/>
    <hyperlink ref="D1465" r:id="rId1404" xr:uid="{00000000-0004-0000-0100-00007B050000}"/>
    <hyperlink ref="D1471" r:id="rId1405" xr:uid="{00000000-0004-0000-0100-00007C050000}"/>
    <hyperlink ref="D1472" r:id="rId1406" xr:uid="{00000000-0004-0000-0100-00007D050000}"/>
    <hyperlink ref="D1473" r:id="rId1407" xr:uid="{00000000-0004-0000-0100-00007E050000}"/>
    <hyperlink ref="D1474" r:id="rId1408" xr:uid="{00000000-0004-0000-0100-00007F050000}"/>
    <hyperlink ref="D1494" r:id="rId1409" xr:uid="{00000000-0004-0000-0100-000080050000}"/>
    <hyperlink ref="D1497" r:id="rId1410" xr:uid="{00000000-0004-0000-0100-000081050000}"/>
    <hyperlink ref="D1498" r:id="rId1411" xr:uid="{00000000-0004-0000-0100-000082050000}"/>
    <hyperlink ref="D1499" r:id="rId1412" xr:uid="{00000000-0004-0000-0100-000083050000}"/>
    <hyperlink ref="D1501" r:id="rId1413" xr:uid="{00000000-0004-0000-0100-000084050000}"/>
    <hyperlink ref="D1503" r:id="rId1414" xr:uid="{00000000-0004-0000-0100-000085050000}"/>
    <hyperlink ref="E1503" r:id="rId1415" xr:uid="{00000000-0004-0000-0100-000086050000}"/>
    <hyperlink ref="D1504" r:id="rId1416" xr:uid="{00000000-0004-0000-0100-000087050000}"/>
    <hyperlink ref="E1504" r:id="rId1417" xr:uid="{00000000-0004-0000-0100-000088050000}"/>
    <hyperlink ref="D1505" r:id="rId1418" xr:uid="{00000000-0004-0000-0100-000089050000}"/>
    <hyperlink ref="E1505" r:id="rId1419" xr:uid="{00000000-0004-0000-0100-00008A050000}"/>
    <hyperlink ref="D1506" r:id="rId1420" xr:uid="{00000000-0004-0000-0100-00008B050000}"/>
    <hyperlink ref="D1507" r:id="rId1421" xr:uid="{00000000-0004-0000-0100-00008C050000}"/>
    <hyperlink ref="D1508" r:id="rId1422" xr:uid="{00000000-0004-0000-0100-00008D050000}"/>
    <hyperlink ref="D1509" r:id="rId1423" xr:uid="{00000000-0004-0000-0100-00008E050000}"/>
    <hyperlink ref="D1510" r:id="rId1424" xr:uid="{00000000-0004-0000-0100-00008F050000}"/>
    <hyperlink ref="D1511" r:id="rId1425" xr:uid="{00000000-0004-0000-0100-000090050000}"/>
    <hyperlink ref="D1512" r:id="rId1426" xr:uid="{00000000-0004-0000-0100-000091050000}"/>
    <hyperlink ref="D1513" r:id="rId1427" xr:uid="{00000000-0004-0000-0100-000092050000}"/>
    <hyperlink ref="D1515" r:id="rId1428" xr:uid="{00000000-0004-0000-0100-000093050000}"/>
    <hyperlink ref="D1516" r:id="rId1429" xr:uid="{00000000-0004-0000-0100-000094050000}"/>
    <hyperlink ref="D1517" r:id="rId1430" xr:uid="{00000000-0004-0000-0100-000095050000}"/>
    <hyperlink ref="D1518" r:id="rId1431" xr:uid="{00000000-0004-0000-0100-000096050000}"/>
    <hyperlink ref="D1519" r:id="rId1432" xr:uid="{00000000-0004-0000-0100-000097050000}"/>
    <hyperlink ref="D1520" r:id="rId1433" xr:uid="{00000000-0004-0000-0100-000098050000}"/>
    <hyperlink ref="D1521" r:id="rId1434" xr:uid="{00000000-0004-0000-0100-000099050000}"/>
    <hyperlink ref="D1522" r:id="rId1435" xr:uid="{00000000-0004-0000-0100-00009A050000}"/>
    <hyperlink ref="D1523" r:id="rId1436" xr:uid="{00000000-0004-0000-0100-00009B050000}"/>
    <hyperlink ref="D1524" r:id="rId1437" xr:uid="{00000000-0004-0000-0100-00009C050000}"/>
    <hyperlink ref="D1525" r:id="rId1438" xr:uid="{00000000-0004-0000-0100-00009D050000}"/>
    <hyperlink ref="D1526" r:id="rId1439" xr:uid="{00000000-0004-0000-0100-00009E050000}"/>
    <hyperlink ref="D1527" r:id="rId1440" xr:uid="{00000000-0004-0000-0100-00009F050000}"/>
    <hyperlink ref="D1528" r:id="rId1441" xr:uid="{00000000-0004-0000-0100-0000A0050000}"/>
    <hyperlink ref="D1529" r:id="rId1442" xr:uid="{00000000-0004-0000-0100-0000A1050000}"/>
    <hyperlink ref="D1530" r:id="rId1443" xr:uid="{00000000-0004-0000-0100-0000A2050000}"/>
    <hyperlink ref="D1531" r:id="rId1444" xr:uid="{00000000-0004-0000-0100-0000A3050000}"/>
    <hyperlink ref="D1532" r:id="rId1445" xr:uid="{00000000-0004-0000-0100-0000A4050000}"/>
    <hyperlink ref="D1533" r:id="rId1446" xr:uid="{00000000-0004-0000-0100-0000A5050000}"/>
    <hyperlink ref="D1534" r:id="rId1447" xr:uid="{00000000-0004-0000-0100-0000A6050000}"/>
    <hyperlink ref="D1535" r:id="rId1448" xr:uid="{00000000-0004-0000-0100-0000A7050000}"/>
    <hyperlink ref="D1536" r:id="rId1449" xr:uid="{00000000-0004-0000-0100-0000A8050000}"/>
    <hyperlink ref="D1537" r:id="rId1450" xr:uid="{00000000-0004-0000-0100-0000A9050000}"/>
    <hyperlink ref="D1538" r:id="rId1451" xr:uid="{00000000-0004-0000-0100-0000AA050000}"/>
    <hyperlink ref="D1539" r:id="rId1452" xr:uid="{00000000-0004-0000-0100-0000AB050000}"/>
    <hyperlink ref="D1540" r:id="rId1453" xr:uid="{00000000-0004-0000-0100-0000AC050000}"/>
    <hyperlink ref="D1541" r:id="rId1454" xr:uid="{00000000-0004-0000-0100-0000AD050000}"/>
    <hyperlink ref="D1542" r:id="rId1455" xr:uid="{00000000-0004-0000-0100-0000AE050000}"/>
    <hyperlink ref="D1543" r:id="rId1456" xr:uid="{00000000-0004-0000-0100-0000AF050000}"/>
    <hyperlink ref="D1544" r:id="rId1457" xr:uid="{00000000-0004-0000-0100-0000B0050000}"/>
    <hyperlink ref="D1545" r:id="rId1458" xr:uid="{00000000-0004-0000-0100-0000B1050000}"/>
    <hyperlink ref="D1546" r:id="rId1459" xr:uid="{00000000-0004-0000-0100-0000B2050000}"/>
    <hyperlink ref="D1547" r:id="rId1460" xr:uid="{00000000-0004-0000-0100-0000B3050000}"/>
    <hyperlink ref="D1548" r:id="rId1461" xr:uid="{00000000-0004-0000-0100-0000B4050000}"/>
    <hyperlink ref="D1550" r:id="rId1462" xr:uid="{00000000-0004-0000-0100-0000B5050000}"/>
    <hyperlink ref="D1551" r:id="rId1463" xr:uid="{00000000-0004-0000-0100-0000B6050000}"/>
    <hyperlink ref="D1552" r:id="rId1464" xr:uid="{00000000-0004-0000-0100-0000B7050000}"/>
    <hyperlink ref="D1553" r:id="rId1465" xr:uid="{00000000-0004-0000-0100-0000B8050000}"/>
    <hyperlink ref="D1554" r:id="rId1466" xr:uid="{00000000-0004-0000-0100-0000B9050000}"/>
    <hyperlink ref="D1555" r:id="rId1467" xr:uid="{00000000-0004-0000-0100-0000BA050000}"/>
    <hyperlink ref="D1556" r:id="rId1468" xr:uid="{00000000-0004-0000-0100-0000BB050000}"/>
    <hyperlink ref="D1557" r:id="rId1469" xr:uid="{00000000-0004-0000-0100-0000BC050000}"/>
    <hyperlink ref="D1558" r:id="rId1470" xr:uid="{00000000-0004-0000-0100-0000BD050000}"/>
    <hyperlink ref="D1559" r:id="rId1471" xr:uid="{00000000-0004-0000-0100-0000BE050000}"/>
    <hyperlink ref="D1560" r:id="rId1472" xr:uid="{00000000-0004-0000-0100-0000BF050000}"/>
    <hyperlink ref="D1561" r:id="rId1473" xr:uid="{00000000-0004-0000-0100-0000C0050000}"/>
    <hyperlink ref="D1562" r:id="rId1474" xr:uid="{00000000-0004-0000-0100-0000C1050000}"/>
    <hyperlink ref="D1563" r:id="rId1475" xr:uid="{00000000-0004-0000-0100-0000C2050000}"/>
    <hyperlink ref="D1564" r:id="rId1476" xr:uid="{00000000-0004-0000-0100-0000C3050000}"/>
    <hyperlink ref="D1566" r:id="rId1477" xr:uid="{00000000-0004-0000-0100-0000C4050000}"/>
    <hyperlink ref="E1566" r:id="rId1478" xr:uid="{00000000-0004-0000-0100-0000C5050000}"/>
    <hyperlink ref="D1567" r:id="rId1479" xr:uid="{00000000-0004-0000-0100-0000C6050000}"/>
    <hyperlink ref="E1567" r:id="rId1480" xr:uid="{00000000-0004-0000-0100-0000C7050000}"/>
    <hyperlink ref="D1568" r:id="rId1481" xr:uid="{00000000-0004-0000-0100-0000C8050000}"/>
    <hyperlink ref="E1568" r:id="rId1482" xr:uid="{00000000-0004-0000-0100-0000C9050000}"/>
    <hyperlink ref="D1569" r:id="rId1483" xr:uid="{00000000-0004-0000-0100-0000CA050000}"/>
    <hyperlink ref="D1570" r:id="rId1484" xr:uid="{00000000-0004-0000-0100-0000CB050000}"/>
    <hyperlink ref="D1571" r:id="rId1485" xr:uid="{00000000-0004-0000-0100-0000CC050000}"/>
    <hyperlink ref="D1572" r:id="rId1486" xr:uid="{00000000-0004-0000-0100-0000CD050000}"/>
    <hyperlink ref="D1573" r:id="rId1487" xr:uid="{00000000-0004-0000-0100-0000CE050000}"/>
    <hyperlink ref="D1574" r:id="rId1488" xr:uid="{00000000-0004-0000-0100-0000CF050000}"/>
    <hyperlink ref="D1575" r:id="rId1489" xr:uid="{00000000-0004-0000-0100-0000D0050000}"/>
    <hyperlink ref="D1576" r:id="rId1490" xr:uid="{00000000-0004-0000-0100-0000D1050000}"/>
    <hyperlink ref="D1577" r:id="rId1491" xr:uid="{00000000-0004-0000-0100-0000D2050000}"/>
    <hyperlink ref="D1578" r:id="rId1492" xr:uid="{00000000-0004-0000-0100-0000D3050000}"/>
    <hyperlink ref="D1579" r:id="rId1493" xr:uid="{00000000-0004-0000-0100-0000D4050000}"/>
    <hyperlink ref="D1580" r:id="rId1494" xr:uid="{00000000-0004-0000-0100-0000D5050000}"/>
    <hyperlink ref="D1581" r:id="rId1495" xr:uid="{00000000-0004-0000-0100-0000D6050000}"/>
    <hyperlink ref="D1582" r:id="rId1496" xr:uid="{00000000-0004-0000-0100-0000D7050000}"/>
    <hyperlink ref="D1583" r:id="rId1497" xr:uid="{00000000-0004-0000-0100-0000D8050000}"/>
    <hyperlink ref="D1584" r:id="rId1498" xr:uid="{00000000-0004-0000-0100-0000D9050000}"/>
    <hyperlink ref="D1585" r:id="rId1499" xr:uid="{00000000-0004-0000-0100-0000DA050000}"/>
    <hyperlink ref="D1586" r:id="rId1500" xr:uid="{00000000-0004-0000-0100-0000DB050000}"/>
    <hyperlink ref="D1587" r:id="rId1501" xr:uid="{00000000-0004-0000-0100-0000DC050000}"/>
    <hyperlink ref="D1588" r:id="rId1502" xr:uid="{00000000-0004-0000-0100-0000DD050000}"/>
    <hyperlink ref="D1589" r:id="rId1503" xr:uid="{00000000-0004-0000-0100-0000DE050000}"/>
    <hyperlink ref="D1590" r:id="rId1504" xr:uid="{00000000-0004-0000-0100-0000DF050000}"/>
    <hyperlink ref="D1591" r:id="rId1505" xr:uid="{00000000-0004-0000-0100-0000E0050000}"/>
    <hyperlink ref="D1592" r:id="rId1506" xr:uid="{00000000-0004-0000-0100-0000E1050000}"/>
    <hyperlink ref="D1593" r:id="rId1507" xr:uid="{00000000-0004-0000-0100-0000E2050000}"/>
    <hyperlink ref="D1594" r:id="rId1508" xr:uid="{00000000-0004-0000-0100-0000E3050000}"/>
    <hyperlink ref="D1595" r:id="rId1509" xr:uid="{00000000-0004-0000-0100-0000E4050000}"/>
    <hyperlink ref="D1596" r:id="rId1510" xr:uid="{00000000-0004-0000-0100-0000E5050000}"/>
    <hyperlink ref="D1597" r:id="rId1511" xr:uid="{00000000-0004-0000-0100-0000E6050000}"/>
    <hyperlink ref="D1598" r:id="rId1512" xr:uid="{00000000-0004-0000-0100-0000E7050000}"/>
    <hyperlink ref="D1599" r:id="rId1513" xr:uid="{00000000-0004-0000-0100-0000E8050000}"/>
    <hyperlink ref="D1600" r:id="rId1514" xr:uid="{00000000-0004-0000-0100-0000E9050000}"/>
    <hyperlink ref="D1601" r:id="rId1515" xr:uid="{00000000-0004-0000-0100-0000EA050000}"/>
    <hyperlink ref="D1602" r:id="rId1516" xr:uid="{00000000-0004-0000-0100-0000EB050000}"/>
    <hyperlink ref="D1603" r:id="rId1517" xr:uid="{00000000-0004-0000-0100-0000EC050000}"/>
    <hyperlink ref="D1604" r:id="rId1518" xr:uid="{00000000-0004-0000-0100-0000ED050000}"/>
    <hyperlink ref="D1605" r:id="rId1519" xr:uid="{00000000-0004-0000-0100-0000EE050000}"/>
    <hyperlink ref="D1606" r:id="rId1520" xr:uid="{00000000-0004-0000-0100-0000EF050000}"/>
    <hyperlink ref="D1607" r:id="rId1521" xr:uid="{00000000-0004-0000-0100-0000F0050000}"/>
    <hyperlink ref="D1608" r:id="rId1522" xr:uid="{00000000-0004-0000-0100-0000F1050000}"/>
    <hyperlink ref="D1609" r:id="rId1523" xr:uid="{00000000-0004-0000-0100-0000F2050000}"/>
    <hyperlink ref="D1610" r:id="rId1524" xr:uid="{00000000-0004-0000-0100-0000F3050000}"/>
    <hyperlink ref="D1611" r:id="rId1525" xr:uid="{00000000-0004-0000-0100-0000F4050000}"/>
    <hyperlink ref="D1612" r:id="rId1526" xr:uid="{00000000-0004-0000-0100-0000F5050000}"/>
    <hyperlink ref="D1613" r:id="rId1527" xr:uid="{00000000-0004-0000-0100-0000F6050000}"/>
    <hyperlink ref="D1614" r:id="rId1528" xr:uid="{00000000-0004-0000-0100-0000F7050000}"/>
    <hyperlink ref="D1615" r:id="rId1529" xr:uid="{00000000-0004-0000-0100-0000F8050000}"/>
    <hyperlink ref="D1616" r:id="rId1530" xr:uid="{00000000-0004-0000-0100-0000F9050000}"/>
    <hyperlink ref="D1617" r:id="rId1531" xr:uid="{00000000-0004-0000-0100-0000FA050000}"/>
    <hyperlink ref="D1618" r:id="rId1532" xr:uid="{00000000-0004-0000-0100-0000FB050000}"/>
    <hyperlink ref="D1619" r:id="rId1533" xr:uid="{00000000-0004-0000-0100-0000FC050000}"/>
    <hyperlink ref="D1620" r:id="rId1534" xr:uid="{00000000-0004-0000-0100-0000FD050000}"/>
    <hyperlink ref="D1621" r:id="rId1535" xr:uid="{00000000-0004-0000-0100-0000FE050000}"/>
    <hyperlink ref="D1622" r:id="rId1536" xr:uid="{00000000-0004-0000-0100-0000FF050000}"/>
    <hyperlink ref="D1623" r:id="rId1537" xr:uid="{00000000-0004-0000-0100-000000060000}"/>
    <hyperlink ref="D1624" r:id="rId1538" xr:uid="{00000000-0004-0000-0100-000001060000}"/>
    <hyperlink ref="D1626" r:id="rId1539" xr:uid="{00000000-0004-0000-0100-000002060000}"/>
    <hyperlink ref="E1626" r:id="rId1540" xr:uid="{00000000-0004-0000-0100-000003060000}"/>
    <hyperlink ref="D1627" r:id="rId1541" xr:uid="{00000000-0004-0000-0100-000004060000}"/>
    <hyperlink ref="E1627" r:id="rId1542" xr:uid="{00000000-0004-0000-0100-000005060000}"/>
    <hyperlink ref="D1628" r:id="rId1543" xr:uid="{00000000-0004-0000-0100-000006060000}"/>
    <hyperlink ref="E1628" r:id="rId1544" xr:uid="{00000000-0004-0000-0100-000007060000}"/>
    <hyperlink ref="D1629" r:id="rId1545" xr:uid="{00000000-0004-0000-0100-000008060000}"/>
    <hyperlink ref="E1629" r:id="rId1546" xr:uid="{00000000-0004-0000-0100-000009060000}"/>
    <hyperlink ref="D1630" r:id="rId1547" xr:uid="{00000000-0004-0000-0100-00000A060000}"/>
    <hyperlink ref="D1631" r:id="rId1548" xr:uid="{00000000-0004-0000-0100-00000B060000}"/>
    <hyperlink ref="D1632" r:id="rId1549" xr:uid="{00000000-0004-0000-0100-00000C060000}"/>
    <hyperlink ref="D1633" r:id="rId1550" xr:uid="{00000000-0004-0000-0100-00000D060000}"/>
    <hyperlink ref="D1634" r:id="rId1551" xr:uid="{00000000-0004-0000-0100-00000E060000}"/>
    <hyperlink ref="D1635" r:id="rId1552" xr:uid="{00000000-0004-0000-0100-00000F060000}"/>
    <hyperlink ref="D1636" r:id="rId1553" xr:uid="{00000000-0004-0000-0100-000010060000}"/>
    <hyperlink ref="D1637" r:id="rId1554" xr:uid="{00000000-0004-0000-0100-000011060000}"/>
    <hyperlink ref="D1638" r:id="rId1555" xr:uid="{00000000-0004-0000-0100-000012060000}"/>
    <hyperlink ref="D1639" r:id="rId1556" xr:uid="{00000000-0004-0000-0100-000013060000}"/>
    <hyperlink ref="D1640" r:id="rId1557" xr:uid="{00000000-0004-0000-0100-000014060000}"/>
    <hyperlink ref="D1641" r:id="rId1558" xr:uid="{00000000-0004-0000-0100-000015060000}"/>
    <hyperlink ref="D1642" r:id="rId1559" xr:uid="{00000000-0004-0000-0100-000016060000}"/>
    <hyperlink ref="D1643" r:id="rId1560" xr:uid="{00000000-0004-0000-0100-000017060000}"/>
    <hyperlink ref="D1644" r:id="rId1561" xr:uid="{00000000-0004-0000-0100-000018060000}"/>
    <hyperlink ref="D1645" r:id="rId1562" xr:uid="{00000000-0004-0000-0100-000019060000}"/>
    <hyperlink ref="D1646" r:id="rId1563" xr:uid="{00000000-0004-0000-0100-00001A060000}"/>
    <hyperlink ref="D1647" r:id="rId1564" xr:uid="{00000000-0004-0000-0100-00001B060000}"/>
    <hyperlink ref="D1648" r:id="rId1565" xr:uid="{00000000-0004-0000-0100-00001C060000}"/>
    <hyperlink ref="D1649" r:id="rId1566" xr:uid="{00000000-0004-0000-0100-00001D060000}"/>
    <hyperlink ref="D1650" r:id="rId1567" xr:uid="{00000000-0004-0000-0100-00001E060000}"/>
    <hyperlink ref="D1651" r:id="rId1568" xr:uid="{00000000-0004-0000-0100-00001F060000}"/>
    <hyperlink ref="D1652" r:id="rId1569" xr:uid="{00000000-0004-0000-0100-000020060000}"/>
    <hyperlink ref="D1653" r:id="rId1570" xr:uid="{00000000-0004-0000-0100-000021060000}"/>
    <hyperlink ref="D1654" r:id="rId1571" xr:uid="{00000000-0004-0000-0100-000022060000}"/>
    <hyperlink ref="D1655" r:id="rId1572" xr:uid="{00000000-0004-0000-0100-000023060000}"/>
    <hyperlink ref="D1656" r:id="rId1573" xr:uid="{00000000-0004-0000-0100-000024060000}"/>
    <hyperlink ref="D1657" r:id="rId1574" xr:uid="{00000000-0004-0000-0100-000025060000}"/>
    <hyperlink ref="D1658" r:id="rId1575" xr:uid="{00000000-0004-0000-0100-000026060000}"/>
    <hyperlink ref="D1659" r:id="rId1576" xr:uid="{00000000-0004-0000-0100-000027060000}"/>
    <hyperlink ref="D1661" r:id="rId1577" xr:uid="{00000000-0004-0000-0100-000028060000}"/>
    <hyperlink ref="E1661" r:id="rId1578" xr:uid="{00000000-0004-0000-0100-000029060000}"/>
    <hyperlink ref="D1662" r:id="rId1579" xr:uid="{00000000-0004-0000-0100-00002A060000}"/>
    <hyperlink ref="D1663" r:id="rId1580" xr:uid="{00000000-0004-0000-0100-00002B060000}"/>
    <hyperlink ref="D1664" r:id="rId1581" xr:uid="{00000000-0004-0000-0100-00002C060000}"/>
    <hyperlink ref="D1665" r:id="rId1582" xr:uid="{00000000-0004-0000-0100-00002D060000}"/>
    <hyperlink ref="D1666" r:id="rId1583" xr:uid="{00000000-0004-0000-0100-00002E060000}"/>
    <hyperlink ref="E1666" r:id="rId1584" xr:uid="{00000000-0004-0000-0100-00002F060000}"/>
    <hyperlink ref="E1667" r:id="rId1585" xr:uid="{00000000-0004-0000-0100-000030060000}"/>
    <hyperlink ref="D1668" r:id="rId1586" xr:uid="{00000000-0004-0000-0100-000031060000}"/>
    <hyperlink ref="D1669" r:id="rId1587" xr:uid="{00000000-0004-0000-0100-000032060000}"/>
    <hyperlink ref="D1670" r:id="rId1588" xr:uid="{00000000-0004-0000-0100-000033060000}"/>
    <hyperlink ref="D1671" r:id="rId1589" xr:uid="{00000000-0004-0000-0100-000034060000}"/>
    <hyperlink ref="D1672" r:id="rId1590" xr:uid="{00000000-0004-0000-0100-000035060000}"/>
    <hyperlink ref="D1674" r:id="rId1591" xr:uid="{00000000-0004-0000-0100-000036060000}"/>
    <hyperlink ref="D1675" r:id="rId1592" xr:uid="{00000000-0004-0000-0100-000037060000}"/>
    <hyperlink ref="D1676" r:id="rId1593" xr:uid="{00000000-0004-0000-0100-000038060000}"/>
    <hyperlink ref="D1677" r:id="rId1594" xr:uid="{00000000-0004-0000-0100-000039060000}"/>
    <hyperlink ref="D1678" r:id="rId1595" xr:uid="{00000000-0004-0000-0100-00003A060000}"/>
    <hyperlink ref="D1679" r:id="rId1596" xr:uid="{00000000-0004-0000-0100-00003B060000}"/>
    <hyperlink ref="D1680" r:id="rId1597" xr:uid="{00000000-0004-0000-0100-00003C060000}"/>
    <hyperlink ref="D1681" r:id="rId1598" xr:uid="{00000000-0004-0000-0100-00003D060000}"/>
    <hyperlink ref="D1682" r:id="rId1599" xr:uid="{00000000-0004-0000-0100-00003E060000}"/>
    <hyperlink ref="D1683" r:id="rId1600" xr:uid="{00000000-0004-0000-0100-00003F060000}"/>
    <hyperlink ref="D1684" r:id="rId1601" xr:uid="{00000000-0004-0000-0100-000040060000}"/>
    <hyperlink ref="D1685" r:id="rId1602" xr:uid="{00000000-0004-0000-0100-000041060000}"/>
    <hyperlink ref="D1686" r:id="rId1603" xr:uid="{00000000-0004-0000-0100-000042060000}"/>
    <hyperlink ref="D1687" r:id="rId1604" xr:uid="{00000000-0004-0000-0100-000043060000}"/>
    <hyperlink ref="D1688" r:id="rId1605" xr:uid="{00000000-0004-0000-0100-000044060000}"/>
    <hyperlink ref="D1689" r:id="rId1606" xr:uid="{00000000-0004-0000-0100-000045060000}"/>
    <hyperlink ref="D1690" r:id="rId1607" xr:uid="{00000000-0004-0000-0100-000046060000}"/>
    <hyperlink ref="D1692" r:id="rId1608" xr:uid="{00000000-0004-0000-0100-000047060000}"/>
    <hyperlink ref="D1693" r:id="rId1609" xr:uid="{00000000-0004-0000-0100-000048060000}"/>
    <hyperlink ref="D1694" r:id="rId1610" xr:uid="{00000000-0004-0000-0100-000049060000}"/>
    <hyperlink ref="D1695" r:id="rId1611" xr:uid="{00000000-0004-0000-0100-00004A060000}"/>
    <hyperlink ref="D1696" r:id="rId1612" xr:uid="{00000000-0004-0000-0100-00004B060000}"/>
    <hyperlink ref="D1697" r:id="rId1613" xr:uid="{00000000-0004-0000-0100-00004C060000}"/>
    <hyperlink ref="D1698" r:id="rId1614" xr:uid="{00000000-0004-0000-0100-00004D060000}"/>
    <hyperlink ref="D1699" r:id="rId1615" xr:uid="{00000000-0004-0000-0100-00004E060000}"/>
    <hyperlink ref="D1700" r:id="rId1616" xr:uid="{00000000-0004-0000-0100-00004F060000}"/>
    <hyperlink ref="D1703" r:id="rId1617" xr:uid="{00000000-0004-0000-0100-000050060000}"/>
    <hyperlink ref="D1704" r:id="rId1618" xr:uid="{00000000-0004-0000-0100-000051060000}"/>
    <hyperlink ref="D1705" r:id="rId1619" xr:uid="{00000000-0004-0000-0100-000052060000}"/>
    <hyperlink ref="D1706" r:id="rId1620" xr:uid="{00000000-0004-0000-0100-000053060000}"/>
    <hyperlink ref="D1707" r:id="rId1621" xr:uid="{00000000-0004-0000-0100-000054060000}"/>
    <hyperlink ref="D1708" r:id="rId1622" xr:uid="{00000000-0004-0000-0100-000055060000}"/>
    <hyperlink ref="D1709" r:id="rId1623" xr:uid="{00000000-0004-0000-0100-000056060000}"/>
    <hyperlink ref="D1710" r:id="rId1624" xr:uid="{00000000-0004-0000-0100-000057060000}"/>
    <hyperlink ref="D1711" r:id="rId1625" xr:uid="{00000000-0004-0000-0100-000058060000}"/>
    <hyperlink ref="D1712" r:id="rId1626" xr:uid="{00000000-0004-0000-0100-000059060000}"/>
    <hyperlink ref="D1713" r:id="rId1627" xr:uid="{00000000-0004-0000-0100-00005A060000}"/>
    <hyperlink ref="D1714" r:id="rId1628" xr:uid="{00000000-0004-0000-0100-00005B060000}"/>
    <hyperlink ref="D1715" r:id="rId1629" xr:uid="{00000000-0004-0000-0100-00005C060000}"/>
    <hyperlink ref="D1716" r:id="rId1630" xr:uid="{00000000-0004-0000-0100-00005D060000}"/>
    <hyperlink ref="D1717" r:id="rId1631" xr:uid="{00000000-0004-0000-0100-00005E060000}"/>
    <hyperlink ref="D1718" r:id="rId1632" xr:uid="{00000000-0004-0000-0100-00005F060000}"/>
    <hyperlink ref="D1719" r:id="rId1633" xr:uid="{00000000-0004-0000-0100-000060060000}"/>
    <hyperlink ref="D1720" r:id="rId1634" xr:uid="{00000000-0004-0000-0100-000061060000}"/>
    <hyperlink ref="D1721" r:id="rId1635" xr:uid="{00000000-0004-0000-0100-000062060000}"/>
    <hyperlink ref="D1722" r:id="rId1636" xr:uid="{00000000-0004-0000-0100-000063060000}"/>
    <hyperlink ref="D1723" r:id="rId1637" xr:uid="{00000000-0004-0000-0100-000064060000}"/>
    <hyperlink ref="D1724" r:id="rId1638" xr:uid="{00000000-0004-0000-0100-000065060000}"/>
    <hyperlink ref="D1725" r:id="rId1639" xr:uid="{00000000-0004-0000-0100-000066060000}"/>
    <hyperlink ref="D1726" r:id="rId1640" xr:uid="{00000000-0004-0000-0100-000067060000}"/>
    <hyperlink ref="D1727" r:id="rId1641" xr:uid="{00000000-0004-0000-0100-000068060000}"/>
    <hyperlink ref="D1728" r:id="rId1642" xr:uid="{00000000-0004-0000-0100-000069060000}"/>
    <hyperlink ref="D1729" r:id="rId1643" xr:uid="{00000000-0004-0000-0100-00006A060000}"/>
    <hyperlink ref="D1730" r:id="rId1644" xr:uid="{00000000-0004-0000-0100-00006B060000}"/>
    <hyperlink ref="D1731" r:id="rId1645" xr:uid="{00000000-0004-0000-0100-00006C060000}"/>
    <hyperlink ref="D1733" r:id="rId1646" xr:uid="{00000000-0004-0000-0100-00006D060000}"/>
    <hyperlink ref="E1733" r:id="rId1647" xr:uid="{00000000-0004-0000-0100-00006E060000}"/>
    <hyperlink ref="D1734" r:id="rId1648" xr:uid="{00000000-0004-0000-0100-00006F060000}"/>
    <hyperlink ref="D1735" r:id="rId1649" xr:uid="{00000000-0004-0000-0100-000070060000}"/>
    <hyperlink ref="D1736" r:id="rId1650" xr:uid="{00000000-0004-0000-0100-000071060000}"/>
    <hyperlink ref="D1737" r:id="rId1651" xr:uid="{00000000-0004-0000-0100-000072060000}"/>
    <hyperlink ref="D1738" r:id="rId1652" xr:uid="{00000000-0004-0000-0100-000073060000}"/>
    <hyperlink ref="D1739" r:id="rId1653" xr:uid="{00000000-0004-0000-0100-000074060000}"/>
    <hyperlink ref="D1740" r:id="rId1654" xr:uid="{00000000-0004-0000-0100-000075060000}"/>
    <hyperlink ref="D1741" r:id="rId1655" xr:uid="{00000000-0004-0000-0100-000076060000}"/>
    <hyperlink ref="D1742" r:id="rId1656" xr:uid="{00000000-0004-0000-0100-000077060000}"/>
    <hyperlink ref="D1743" r:id="rId1657" xr:uid="{00000000-0004-0000-0100-000078060000}"/>
    <hyperlink ref="D1744" r:id="rId1658" xr:uid="{00000000-0004-0000-0100-000079060000}"/>
    <hyperlink ref="D1745" r:id="rId1659" xr:uid="{00000000-0004-0000-0100-00007A060000}"/>
    <hyperlink ref="D1746" r:id="rId1660" xr:uid="{00000000-0004-0000-0100-00007B060000}"/>
    <hyperlink ref="D1747" r:id="rId1661" xr:uid="{00000000-0004-0000-0100-00007C060000}"/>
    <hyperlink ref="D1748" r:id="rId1662" xr:uid="{00000000-0004-0000-0100-00007D060000}"/>
    <hyperlink ref="D1749" r:id="rId1663" xr:uid="{00000000-0004-0000-0100-00007E060000}"/>
    <hyperlink ref="D1750" r:id="rId1664" xr:uid="{00000000-0004-0000-0100-00007F060000}"/>
    <hyperlink ref="D1751" r:id="rId1665" xr:uid="{00000000-0004-0000-0100-000080060000}"/>
    <hyperlink ref="D1752" r:id="rId1666" xr:uid="{00000000-0004-0000-0100-000081060000}"/>
    <hyperlink ref="D1753" r:id="rId1667" xr:uid="{00000000-0004-0000-0100-000082060000}"/>
    <hyperlink ref="D1754" r:id="rId1668" xr:uid="{00000000-0004-0000-0100-000083060000}"/>
    <hyperlink ref="D1755" r:id="rId1669" xr:uid="{00000000-0004-0000-0100-000084060000}"/>
    <hyperlink ref="D1756" r:id="rId1670" xr:uid="{00000000-0004-0000-0100-000085060000}"/>
    <hyperlink ref="D1757" r:id="rId1671" xr:uid="{00000000-0004-0000-0100-000086060000}"/>
    <hyperlink ref="D1758" r:id="rId1672" xr:uid="{00000000-0004-0000-0100-000087060000}"/>
    <hyperlink ref="D1759" r:id="rId1673" xr:uid="{00000000-0004-0000-0100-000088060000}"/>
    <hyperlink ref="D1760" r:id="rId1674" xr:uid="{00000000-0004-0000-0100-000089060000}"/>
    <hyperlink ref="D1761" r:id="rId1675" xr:uid="{00000000-0004-0000-0100-00008A060000}"/>
    <hyperlink ref="D1762" r:id="rId1676" xr:uid="{00000000-0004-0000-0100-00008B060000}"/>
    <hyperlink ref="D1763" r:id="rId1677" xr:uid="{00000000-0004-0000-0100-00008C060000}"/>
    <hyperlink ref="D1764" r:id="rId1678" xr:uid="{00000000-0004-0000-0100-00008D060000}"/>
    <hyperlink ref="D1765" r:id="rId1679" xr:uid="{00000000-0004-0000-0100-00008E060000}"/>
    <hyperlink ref="D1766" r:id="rId1680" xr:uid="{00000000-0004-0000-0100-00008F060000}"/>
    <hyperlink ref="D1767" r:id="rId1681" xr:uid="{00000000-0004-0000-0100-000090060000}"/>
    <hyperlink ref="D1768" r:id="rId1682" xr:uid="{00000000-0004-0000-0100-000091060000}"/>
    <hyperlink ref="D1769" r:id="rId1683" xr:uid="{00000000-0004-0000-0100-000092060000}"/>
    <hyperlink ref="D1770" r:id="rId1684" xr:uid="{00000000-0004-0000-0100-000093060000}"/>
    <hyperlink ref="D1771" r:id="rId1685" xr:uid="{00000000-0004-0000-0100-000094060000}"/>
    <hyperlink ref="D1772" r:id="rId1686" xr:uid="{00000000-0004-0000-0100-000095060000}"/>
    <hyperlink ref="D1774" r:id="rId1687" xr:uid="{00000000-0004-0000-0100-000096060000}"/>
    <hyperlink ref="E1774" r:id="rId1688" xr:uid="{00000000-0004-0000-0100-000097060000}"/>
    <hyperlink ref="E1775" r:id="rId1689" xr:uid="{00000000-0004-0000-0100-000098060000}"/>
    <hyperlink ref="D1776" r:id="rId1690" xr:uid="{00000000-0004-0000-0100-000099060000}"/>
    <hyperlink ref="E1776" r:id="rId1691" xr:uid="{00000000-0004-0000-0100-00009A060000}"/>
    <hyperlink ref="D1777" r:id="rId1692" xr:uid="{00000000-0004-0000-0100-00009B060000}"/>
    <hyperlink ref="E1777" r:id="rId1693" xr:uid="{00000000-0004-0000-0100-00009C060000}"/>
    <hyperlink ref="D1778" r:id="rId1694" xr:uid="{00000000-0004-0000-0100-00009D060000}"/>
    <hyperlink ref="E1778" r:id="rId1695" xr:uid="{00000000-0004-0000-0100-00009E060000}"/>
    <hyperlink ref="D1779" r:id="rId1696" xr:uid="{00000000-0004-0000-0100-00009F060000}"/>
    <hyperlink ref="D1780" r:id="rId1697" xr:uid="{00000000-0004-0000-0100-0000A0060000}"/>
    <hyperlink ref="D1781" r:id="rId1698" xr:uid="{00000000-0004-0000-0100-0000A1060000}"/>
    <hyperlink ref="D1782" r:id="rId1699" xr:uid="{00000000-0004-0000-0100-0000A2060000}"/>
    <hyperlink ref="D1783" r:id="rId1700" xr:uid="{00000000-0004-0000-0100-0000A3060000}"/>
    <hyperlink ref="D1784" r:id="rId1701" xr:uid="{00000000-0004-0000-0100-0000A4060000}"/>
    <hyperlink ref="D1785" r:id="rId1702" xr:uid="{00000000-0004-0000-0100-0000A5060000}"/>
    <hyperlink ref="D1786" r:id="rId1703" xr:uid="{00000000-0004-0000-0100-0000A6060000}"/>
    <hyperlink ref="D1787" r:id="rId1704" xr:uid="{00000000-0004-0000-0100-0000A7060000}"/>
    <hyperlink ref="D1788" r:id="rId1705" xr:uid="{00000000-0004-0000-0100-0000A8060000}"/>
    <hyperlink ref="D1789" r:id="rId1706" xr:uid="{00000000-0004-0000-0100-0000A9060000}"/>
    <hyperlink ref="D1790" r:id="rId1707" xr:uid="{00000000-0004-0000-0100-0000AA060000}"/>
    <hyperlink ref="D1791" r:id="rId1708" xr:uid="{00000000-0004-0000-0100-0000AB060000}"/>
    <hyperlink ref="D1792" r:id="rId1709" xr:uid="{00000000-0004-0000-0100-0000AC060000}"/>
    <hyperlink ref="D1793" r:id="rId1710" xr:uid="{00000000-0004-0000-0100-0000AD060000}"/>
    <hyperlink ref="D1794" r:id="rId1711" xr:uid="{00000000-0004-0000-0100-0000AE060000}"/>
    <hyperlink ref="D1795" r:id="rId1712" xr:uid="{00000000-0004-0000-0100-0000AF060000}"/>
    <hyperlink ref="D1796" r:id="rId1713" xr:uid="{00000000-0004-0000-0100-0000B0060000}"/>
    <hyperlink ref="D1797" r:id="rId1714" xr:uid="{00000000-0004-0000-0100-0000B1060000}"/>
    <hyperlink ref="D1798" r:id="rId1715" xr:uid="{00000000-0004-0000-0100-0000B2060000}"/>
    <hyperlink ref="D1799" r:id="rId1716" xr:uid="{00000000-0004-0000-0100-0000B3060000}"/>
    <hyperlink ref="D1800" r:id="rId1717" xr:uid="{00000000-0004-0000-0100-0000B4060000}"/>
    <hyperlink ref="D1801" r:id="rId1718" xr:uid="{00000000-0004-0000-0100-0000B5060000}"/>
    <hyperlink ref="D1802" r:id="rId1719" xr:uid="{00000000-0004-0000-0100-0000B6060000}"/>
    <hyperlink ref="D1803" r:id="rId1720" xr:uid="{00000000-0004-0000-0100-0000B7060000}"/>
    <hyperlink ref="D1804" r:id="rId1721" xr:uid="{00000000-0004-0000-0100-0000B8060000}"/>
    <hyperlink ref="D1805" r:id="rId1722" xr:uid="{00000000-0004-0000-0100-0000B9060000}"/>
    <hyperlink ref="D1806" r:id="rId1723" xr:uid="{00000000-0004-0000-0100-0000BA060000}"/>
    <hyperlink ref="D1807" r:id="rId1724" xr:uid="{00000000-0004-0000-0100-0000BB060000}"/>
    <hyperlink ref="D1808" r:id="rId1725" xr:uid="{00000000-0004-0000-0100-0000BC060000}"/>
    <hyperlink ref="D1809" r:id="rId1726" xr:uid="{00000000-0004-0000-0100-0000BD060000}"/>
    <hyperlink ref="D1810" r:id="rId1727" xr:uid="{00000000-0004-0000-0100-0000BE060000}"/>
    <hyperlink ref="D1811" r:id="rId1728" xr:uid="{00000000-0004-0000-0100-0000BF060000}"/>
    <hyperlink ref="D1812" r:id="rId1729" xr:uid="{00000000-0004-0000-0100-0000C0060000}"/>
    <hyperlink ref="D1813" r:id="rId1730" xr:uid="{00000000-0004-0000-0100-0000C1060000}"/>
    <hyperlink ref="D1814" r:id="rId1731" xr:uid="{00000000-0004-0000-0100-0000C2060000}"/>
    <hyperlink ref="D1815" r:id="rId1732" xr:uid="{00000000-0004-0000-0100-0000C3060000}"/>
    <hyperlink ref="D1816" r:id="rId1733" xr:uid="{00000000-0004-0000-0100-0000C4060000}"/>
    <hyperlink ref="D1817" r:id="rId1734" xr:uid="{00000000-0004-0000-0100-0000C5060000}"/>
    <hyperlink ref="D1818" r:id="rId1735" xr:uid="{00000000-0004-0000-0100-0000C6060000}"/>
    <hyperlink ref="D1819" r:id="rId1736" xr:uid="{00000000-0004-0000-0100-0000C7060000}"/>
    <hyperlink ref="D1820" r:id="rId1737" xr:uid="{00000000-0004-0000-0100-0000C8060000}"/>
    <hyperlink ref="D1821" r:id="rId1738" xr:uid="{00000000-0004-0000-0100-0000C9060000}"/>
    <hyperlink ref="D1822" r:id="rId1739" xr:uid="{00000000-0004-0000-0100-0000CA060000}"/>
    <hyperlink ref="D1823" r:id="rId1740" xr:uid="{00000000-0004-0000-0100-0000CB060000}"/>
    <hyperlink ref="D1824" r:id="rId1741" xr:uid="{00000000-0004-0000-0100-0000CC060000}"/>
    <hyperlink ref="D1825" r:id="rId1742" xr:uid="{00000000-0004-0000-0100-0000CD060000}"/>
    <hyperlink ref="D1826" r:id="rId1743" xr:uid="{00000000-0004-0000-0100-0000CE060000}"/>
    <hyperlink ref="D1827" r:id="rId1744" xr:uid="{00000000-0004-0000-0100-0000CF060000}"/>
    <hyperlink ref="D1828" r:id="rId1745" xr:uid="{00000000-0004-0000-0100-0000D0060000}"/>
    <hyperlink ref="D1829" r:id="rId1746" xr:uid="{00000000-0004-0000-0100-0000D1060000}"/>
    <hyperlink ref="D1830" r:id="rId1747" xr:uid="{00000000-0004-0000-0100-0000D2060000}"/>
    <hyperlink ref="D1831" r:id="rId1748" xr:uid="{00000000-0004-0000-0100-0000D3060000}"/>
    <hyperlink ref="D1832" r:id="rId1749" xr:uid="{00000000-0004-0000-0100-0000D4060000}"/>
    <hyperlink ref="D1833" r:id="rId1750" xr:uid="{00000000-0004-0000-0100-0000D5060000}"/>
    <hyperlink ref="D1834" r:id="rId1751" xr:uid="{00000000-0004-0000-0100-0000D6060000}"/>
    <hyperlink ref="D1835" r:id="rId1752" xr:uid="{00000000-0004-0000-0100-0000D7060000}"/>
    <hyperlink ref="D1836" r:id="rId1753" xr:uid="{00000000-0004-0000-0100-0000D8060000}"/>
    <hyperlink ref="D1837" r:id="rId1754" xr:uid="{00000000-0004-0000-0100-0000D9060000}"/>
    <hyperlink ref="D1838" r:id="rId1755" xr:uid="{00000000-0004-0000-0100-0000DA060000}"/>
    <hyperlink ref="D1839" r:id="rId1756" xr:uid="{00000000-0004-0000-0100-0000DB060000}"/>
    <hyperlink ref="D1840" r:id="rId1757" xr:uid="{00000000-0004-0000-0100-0000DC060000}"/>
    <hyperlink ref="D1841" r:id="rId1758" xr:uid="{00000000-0004-0000-0100-0000DD060000}"/>
    <hyperlink ref="D1842" r:id="rId1759" xr:uid="{00000000-0004-0000-0100-0000DE060000}"/>
    <hyperlink ref="D1843" r:id="rId1760" xr:uid="{00000000-0004-0000-0100-0000DF060000}"/>
    <hyperlink ref="D1844" r:id="rId1761" xr:uid="{00000000-0004-0000-0100-0000E0060000}"/>
    <hyperlink ref="D1845" r:id="rId1762" xr:uid="{00000000-0004-0000-0100-0000E1060000}"/>
    <hyperlink ref="D1846" r:id="rId1763" xr:uid="{00000000-0004-0000-0100-0000E2060000}"/>
    <hyperlink ref="D1847" r:id="rId1764" xr:uid="{00000000-0004-0000-0100-0000E3060000}"/>
    <hyperlink ref="D1848" r:id="rId1765" xr:uid="{00000000-0004-0000-0100-0000E4060000}"/>
    <hyperlink ref="D1849" r:id="rId1766" xr:uid="{00000000-0004-0000-0100-0000E5060000}"/>
    <hyperlink ref="D1850" r:id="rId1767" xr:uid="{00000000-0004-0000-0100-0000E6060000}"/>
    <hyperlink ref="D1851" r:id="rId1768" xr:uid="{00000000-0004-0000-0100-0000E706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563C1"/>
    <outlinePr summaryRight="0"/>
  </sheetPr>
  <dimension ref="A1:H32"/>
  <sheetViews>
    <sheetView showGridLines="0" workbookViewId="0">
      <pane ySplit="4" topLeftCell="A5" activePane="bottomLeft" state="frozen"/>
      <selection pane="bottomLeft" activeCell="C2" sqref="C2"/>
    </sheetView>
  </sheetViews>
  <sheetFormatPr baseColWidth="10" defaultColWidth="14.5" defaultRowHeight="15.75" customHeight="1" outlineLevelRow="1" x14ac:dyDescent="0.15"/>
  <cols>
    <col min="1" max="1" width="7.33203125" customWidth="1"/>
    <col min="2" max="2" width="6.1640625" customWidth="1"/>
    <col min="3" max="3" width="55.33203125" customWidth="1"/>
    <col min="4" max="4" width="58" customWidth="1"/>
    <col min="5" max="5" width="14.5" customWidth="1"/>
    <col min="6" max="6" width="18" customWidth="1"/>
    <col min="7" max="7" width="21.6640625" customWidth="1"/>
    <col min="8" max="8" width="5.83203125" customWidth="1"/>
  </cols>
  <sheetData>
    <row r="1" spans="1:8" ht="45" customHeight="1" outlineLevel="1" x14ac:dyDescent="0.3">
      <c r="A1" s="98"/>
      <c r="B1" s="162" t="s">
        <v>1459</v>
      </c>
      <c r="C1" s="203"/>
      <c r="D1" s="203"/>
      <c r="E1" s="203"/>
      <c r="F1" s="163" t="s">
        <v>1370</v>
      </c>
      <c r="G1" s="164"/>
      <c r="H1" s="98"/>
    </row>
    <row r="2" spans="1:8" ht="19" outlineLevel="1" x14ac:dyDescent="0.15">
      <c r="A2" s="98"/>
      <c r="B2" s="99"/>
      <c r="C2" s="100" t="s">
        <v>1371</v>
      </c>
      <c r="D2" s="165"/>
      <c r="E2" s="160"/>
      <c r="F2" s="160"/>
      <c r="G2" s="166"/>
      <c r="H2" s="101"/>
    </row>
    <row r="3" spans="1:8" ht="28" outlineLevel="1" x14ac:dyDescent="0.15">
      <c r="A3" s="98"/>
      <c r="B3" s="102" t="s">
        <v>1372</v>
      </c>
      <c r="C3" s="103" t="s">
        <v>1373</v>
      </c>
      <c r="D3" s="167" t="s">
        <v>1374</v>
      </c>
      <c r="E3" s="160"/>
      <c r="F3" s="160"/>
      <c r="G3" s="166"/>
      <c r="H3" s="98"/>
    </row>
    <row r="4" spans="1:8" ht="7.5" customHeight="1" outlineLevel="1" x14ac:dyDescent="0.15">
      <c r="A4" s="104"/>
      <c r="B4" s="168"/>
      <c r="C4" s="160"/>
      <c r="D4" s="160"/>
      <c r="E4" s="160"/>
      <c r="F4" s="160"/>
      <c r="G4" s="160"/>
      <c r="H4" s="104"/>
    </row>
    <row r="5" spans="1:8" ht="52.5" customHeight="1" x14ac:dyDescent="0.2">
      <c r="A5" s="98"/>
      <c r="B5" s="105">
        <v>1</v>
      </c>
      <c r="C5" s="106" t="s">
        <v>9</v>
      </c>
      <c r="D5" s="169" t="s">
        <v>1375</v>
      </c>
      <c r="E5" s="204"/>
      <c r="F5" s="204"/>
      <c r="G5" s="205"/>
      <c r="H5" s="98"/>
    </row>
    <row r="6" spans="1:8" ht="52.5" customHeight="1" x14ac:dyDescent="0.2">
      <c r="A6" s="98"/>
      <c r="B6" s="105">
        <v>2</v>
      </c>
      <c r="C6" s="106" t="s">
        <v>98</v>
      </c>
      <c r="D6" s="169" t="s">
        <v>1376</v>
      </c>
      <c r="E6" s="204"/>
      <c r="F6" s="204"/>
      <c r="G6" s="205"/>
      <c r="H6" s="107" t="s">
        <v>1377</v>
      </c>
    </row>
    <row r="7" spans="1:8" ht="52.5" customHeight="1" x14ac:dyDescent="0.2">
      <c r="A7" s="98"/>
      <c r="B7" s="105">
        <v>3</v>
      </c>
      <c r="C7" s="106" t="s">
        <v>140</v>
      </c>
      <c r="D7" s="169" t="s">
        <v>1378</v>
      </c>
      <c r="E7" s="204"/>
      <c r="F7" s="204"/>
      <c r="G7" s="205"/>
      <c r="H7" s="98"/>
    </row>
    <row r="8" spans="1:8" ht="52.5" customHeight="1" x14ac:dyDescent="0.2">
      <c r="A8" s="98"/>
      <c r="B8" s="105">
        <v>4</v>
      </c>
      <c r="C8" s="106" t="s">
        <v>197</v>
      </c>
      <c r="D8" s="169" t="s">
        <v>1379</v>
      </c>
      <c r="E8" s="204"/>
      <c r="F8" s="204"/>
      <c r="G8" s="205"/>
      <c r="H8" s="98"/>
    </row>
    <row r="9" spans="1:8" ht="52.5" customHeight="1" x14ac:dyDescent="0.2">
      <c r="A9" s="98"/>
      <c r="B9" s="105">
        <v>5</v>
      </c>
      <c r="C9" s="106" t="s">
        <v>244</v>
      </c>
      <c r="D9" s="169" t="s">
        <v>1380</v>
      </c>
      <c r="E9" s="204"/>
      <c r="F9" s="204"/>
      <c r="G9" s="205"/>
      <c r="H9" s="98"/>
    </row>
    <row r="10" spans="1:8" ht="52.5" customHeight="1" x14ac:dyDescent="0.2">
      <c r="A10" s="98"/>
      <c r="B10" s="105">
        <v>6</v>
      </c>
      <c r="C10" s="106" t="s">
        <v>303</v>
      </c>
      <c r="D10" s="169" t="s">
        <v>1381</v>
      </c>
      <c r="E10" s="204"/>
      <c r="F10" s="204"/>
      <c r="G10" s="205"/>
      <c r="H10" s="98"/>
    </row>
    <row r="11" spans="1:8" ht="52.5" customHeight="1" x14ac:dyDescent="0.2">
      <c r="A11" s="98"/>
      <c r="B11" s="105">
        <v>7</v>
      </c>
      <c r="C11" s="106" t="s">
        <v>329</v>
      </c>
      <c r="D11" s="169" t="s">
        <v>1382</v>
      </c>
      <c r="E11" s="204"/>
      <c r="F11" s="204"/>
      <c r="G11" s="205"/>
      <c r="H11" s="98"/>
    </row>
    <row r="12" spans="1:8" ht="52.5" customHeight="1" x14ac:dyDescent="0.2">
      <c r="A12" s="98"/>
      <c r="B12" s="105">
        <v>8</v>
      </c>
      <c r="C12" s="106" t="s">
        <v>445</v>
      </c>
      <c r="D12" s="169" t="s">
        <v>1383</v>
      </c>
      <c r="E12" s="204"/>
      <c r="F12" s="204"/>
      <c r="G12" s="205"/>
      <c r="H12" s="98"/>
    </row>
    <row r="13" spans="1:8" ht="52.5" customHeight="1" x14ac:dyDescent="0.2">
      <c r="A13" s="98"/>
      <c r="B13" s="105">
        <v>9</v>
      </c>
      <c r="C13" s="106" t="s">
        <v>486</v>
      </c>
      <c r="D13" s="169" t="s">
        <v>1384</v>
      </c>
      <c r="E13" s="204"/>
      <c r="F13" s="204"/>
      <c r="G13" s="205"/>
      <c r="H13" s="98"/>
    </row>
    <row r="14" spans="1:8" ht="52.5" customHeight="1" x14ac:dyDescent="0.2">
      <c r="A14" s="98"/>
      <c r="B14" s="105">
        <v>10</v>
      </c>
      <c r="C14" s="106" t="s">
        <v>505</v>
      </c>
      <c r="D14" s="169" t="s">
        <v>1385</v>
      </c>
      <c r="E14" s="204"/>
      <c r="F14" s="204"/>
      <c r="G14" s="205"/>
      <c r="H14" s="98"/>
    </row>
    <row r="15" spans="1:8" ht="52.5" customHeight="1" x14ac:dyDescent="0.2">
      <c r="A15" s="98"/>
      <c r="B15" s="105">
        <v>11</v>
      </c>
      <c r="C15" s="106" t="s">
        <v>564</v>
      </c>
      <c r="D15" s="169" t="s">
        <v>1386</v>
      </c>
      <c r="E15" s="204"/>
      <c r="F15" s="204"/>
      <c r="G15" s="205"/>
      <c r="H15" s="98"/>
    </row>
    <row r="16" spans="1:8" ht="52.5" customHeight="1" x14ac:dyDescent="0.2">
      <c r="A16" s="98"/>
      <c r="B16" s="105">
        <v>12</v>
      </c>
      <c r="C16" s="106" t="s">
        <v>660</v>
      </c>
      <c r="D16" s="169" t="s">
        <v>1387</v>
      </c>
      <c r="E16" s="204"/>
      <c r="F16" s="204"/>
      <c r="G16" s="205"/>
      <c r="H16" s="98"/>
    </row>
    <row r="17" spans="1:8" ht="52.5" customHeight="1" x14ac:dyDescent="0.2">
      <c r="A17" s="98"/>
      <c r="B17" s="105">
        <v>13</v>
      </c>
      <c r="C17" s="106" t="s">
        <v>694</v>
      </c>
      <c r="D17" s="169" t="s">
        <v>1388</v>
      </c>
      <c r="E17" s="204"/>
      <c r="F17" s="204"/>
      <c r="G17" s="205"/>
      <c r="H17" s="98"/>
    </row>
    <row r="18" spans="1:8" ht="60" customHeight="1" x14ac:dyDescent="0.2">
      <c r="A18" s="98"/>
      <c r="B18" s="105">
        <v>14</v>
      </c>
      <c r="C18" s="106" t="s">
        <v>748</v>
      </c>
      <c r="D18" s="169" t="s">
        <v>1389</v>
      </c>
      <c r="E18" s="204"/>
      <c r="F18" s="204"/>
      <c r="G18" s="205"/>
      <c r="H18" s="98"/>
    </row>
    <row r="19" spans="1:8" ht="52.5" customHeight="1" x14ac:dyDescent="0.2">
      <c r="A19" s="98"/>
      <c r="B19" s="105">
        <v>15</v>
      </c>
      <c r="C19" s="106" t="s">
        <v>817</v>
      </c>
      <c r="D19" s="169" t="s">
        <v>1390</v>
      </c>
      <c r="E19" s="204"/>
      <c r="F19" s="204"/>
      <c r="G19" s="205"/>
      <c r="H19" s="98"/>
    </row>
    <row r="20" spans="1:8" ht="52.5" customHeight="1" x14ac:dyDescent="0.2">
      <c r="A20" s="98"/>
      <c r="B20" s="105">
        <v>16</v>
      </c>
      <c r="C20" s="106" t="s">
        <v>890</v>
      </c>
      <c r="D20" s="169" t="s">
        <v>1391</v>
      </c>
      <c r="E20" s="204"/>
      <c r="F20" s="204"/>
      <c r="G20" s="205"/>
      <c r="H20" s="98"/>
    </row>
    <row r="21" spans="1:8" ht="52.5" customHeight="1" x14ac:dyDescent="0.2">
      <c r="A21" s="98"/>
      <c r="B21" s="105">
        <v>17</v>
      </c>
      <c r="C21" s="106" t="s">
        <v>921</v>
      </c>
      <c r="D21" s="169" t="s">
        <v>1392</v>
      </c>
      <c r="E21" s="204"/>
      <c r="F21" s="204"/>
      <c r="G21" s="205"/>
      <c r="H21" s="98"/>
    </row>
    <row r="22" spans="1:8" ht="52.5" customHeight="1" x14ac:dyDescent="0.2">
      <c r="A22" s="98"/>
      <c r="B22" s="105">
        <v>18</v>
      </c>
      <c r="C22" s="106" t="s">
        <v>981</v>
      </c>
      <c r="D22" s="169" t="s">
        <v>1393</v>
      </c>
      <c r="E22" s="204"/>
      <c r="F22" s="204"/>
      <c r="G22" s="205"/>
      <c r="H22" s="98"/>
    </row>
    <row r="23" spans="1:8" ht="52.5" customHeight="1" x14ac:dyDescent="0.2">
      <c r="A23" s="98"/>
      <c r="B23" s="105">
        <v>19</v>
      </c>
      <c r="C23" s="106" t="s">
        <v>1011</v>
      </c>
      <c r="D23" s="169" t="s">
        <v>1394</v>
      </c>
      <c r="E23" s="204"/>
      <c r="F23" s="204"/>
      <c r="G23" s="205"/>
      <c r="H23" s="98"/>
    </row>
    <row r="24" spans="1:8" ht="52.5" customHeight="1" x14ac:dyDescent="0.2">
      <c r="A24" s="98"/>
      <c r="B24" s="105">
        <v>20</v>
      </c>
      <c r="C24" s="106" t="s">
        <v>1062</v>
      </c>
      <c r="D24" s="169" t="s">
        <v>1395</v>
      </c>
      <c r="E24" s="204"/>
      <c r="F24" s="204"/>
      <c r="G24" s="205"/>
      <c r="H24" s="98"/>
    </row>
    <row r="25" spans="1:8" ht="52.5" customHeight="1" x14ac:dyDescent="0.2">
      <c r="A25" s="98"/>
      <c r="B25" s="105">
        <v>21</v>
      </c>
      <c r="C25" s="106" t="s">
        <v>1103</v>
      </c>
      <c r="D25" s="169" t="s">
        <v>1396</v>
      </c>
      <c r="E25" s="204"/>
      <c r="F25" s="204"/>
      <c r="G25" s="205"/>
      <c r="H25" s="98"/>
    </row>
    <row r="26" spans="1:8" ht="52.5" customHeight="1" x14ac:dyDescent="0.2">
      <c r="A26" s="98"/>
      <c r="B26" s="105">
        <v>22</v>
      </c>
      <c r="C26" s="106" t="s">
        <v>1150</v>
      </c>
      <c r="D26" s="169" t="s">
        <v>1397</v>
      </c>
      <c r="E26" s="204"/>
      <c r="F26" s="204"/>
      <c r="G26" s="205"/>
      <c r="H26" s="98"/>
    </row>
    <row r="27" spans="1:8" ht="52.5" customHeight="1" x14ac:dyDescent="0.2">
      <c r="A27" s="98"/>
      <c r="B27" s="105">
        <v>23</v>
      </c>
      <c r="C27" s="106" t="s">
        <v>1171</v>
      </c>
      <c r="D27" s="169" t="s">
        <v>1398</v>
      </c>
      <c r="E27" s="204"/>
      <c r="F27" s="204"/>
      <c r="G27" s="205"/>
      <c r="H27" s="98"/>
    </row>
    <row r="28" spans="1:8" ht="52.5" customHeight="1" x14ac:dyDescent="0.2">
      <c r="A28" s="98"/>
      <c r="B28" s="105">
        <v>24</v>
      </c>
      <c r="C28" s="106" t="s">
        <v>1207</v>
      </c>
      <c r="D28" s="169" t="s">
        <v>1399</v>
      </c>
      <c r="E28" s="204"/>
      <c r="F28" s="204"/>
      <c r="G28" s="205"/>
      <c r="H28" s="98"/>
    </row>
    <row r="29" spans="1:8" ht="52.5" customHeight="1" x14ac:dyDescent="0.2">
      <c r="A29" s="98"/>
      <c r="B29" s="105">
        <v>25</v>
      </c>
      <c r="C29" s="106" t="s">
        <v>992</v>
      </c>
      <c r="D29" s="169" t="s">
        <v>1400</v>
      </c>
      <c r="E29" s="204"/>
      <c r="F29" s="204"/>
      <c r="G29" s="205"/>
      <c r="H29" s="98"/>
    </row>
    <row r="30" spans="1:8" ht="52.5" customHeight="1" x14ac:dyDescent="0.2">
      <c r="A30" s="98"/>
      <c r="B30" s="105">
        <v>26</v>
      </c>
      <c r="C30" s="106" t="s">
        <v>1238</v>
      </c>
      <c r="D30" s="169" t="s">
        <v>1401</v>
      </c>
      <c r="E30" s="204"/>
      <c r="F30" s="204"/>
      <c r="G30" s="205"/>
      <c r="H30" s="98"/>
    </row>
    <row r="31" spans="1:8" ht="52.5" customHeight="1" x14ac:dyDescent="0.2">
      <c r="A31" s="98"/>
      <c r="B31" s="105">
        <v>27</v>
      </c>
      <c r="C31" s="106" t="s">
        <v>1271</v>
      </c>
      <c r="D31" s="169" t="s">
        <v>1402</v>
      </c>
      <c r="E31" s="204"/>
      <c r="F31" s="204"/>
      <c r="G31" s="205"/>
      <c r="H31" s="98"/>
    </row>
    <row r="32" spans="1:8" ht="52.5" customHeight="1" x14ac:dyDescent="0.2">
      <c r="A32" s="98"/>
      <c r="B32" s="108">
        <v>28</v>
      </c>
      <c r="C32" s="109" t="s">
        <v>1312</v>
      </c>
      <c r="D32" s="170" t="s">
        <v>1403</v>
      </c>
      <c r="E32" s="206"/>
      <c r="F32" s="206"/>
      <c r="G32" s="206"/>
      <c r="H32" s="98"/>
    </row>
  </sheetData>
  <mergeCells count="33">
    <mergeCell ref="D32:G32"/>
    <mergeCell ref="D21:G21"/>
    <mergeCell ref="D22:G22"/>
    <mergeCell ref="D23:G23"/>
    <mergeCell ref="D24:G24"/>
    <mergeCell ref="D25:G25"/>
    <mergeCell ref="D26:G26"/>
    <mergeCell ref="D27:G27"/>
    <mergeCell ref="D20:G20"/>
    <mergeCell ref="D28:G28"/>
    <mergeCell ref="D29:G29"/>
    <mergeCell ref="D30:G30"/>
    <mergeCell ref="D31:G31"/>
    <mergeCell ref="D15:G15"/>
    <mergeCell ref="D16:G16"/>
    <mergeCell ref="D17:G17"/>
    <mergeCell ref="D18:G18"/>
    <mergeCell ref="D19:G19"/>
    <mergeCell ref="D10:G10"/>
    <mergeCell ref="D11:G11"/>
    <mergeCell ref="D12:G12"/>
    <mergeCell ref="D13:G13"/>
    <mergeCell ref="D14:G14"/>
    <mergeCell ref="D5:G5"/>
    <mergeCell ref="D6:G6"/>
    <mergeCell ref="D7:G7"/>
    <mergeCell ref="D8:G8"/>
    <mergeCell ref="D9:G9"/>
    <mergeCell ref="B1:E1"/>
    <mergeCell ref="F1:G1"/>
    <mergeCell ref="D2:G2"/>
    <mergeCell ref="D3:G3"/>
    <mergeCell ref="B4:G4"/>
  </mergeCells>
  <hyperlinks>
    <hyperlink ref="C5" location="'Competencies 1-3'!C5" display="Accountability and Results-Oriented" xr:uid="{00000000-0004-0000-0200-000000000000}"/>
    <hyperlink ref="C6" location="'Competencies 1-3'!J5" display="Adaptability" xr:uid="{00000000-0004-0000-0200-000001000000}"/>
    <hyperlink ref="C7" location="'Competencies 1-3'!Q5" display="Building and Managing Effective Teams" xr:uid="{00000000-0004-0000-0200-000002000000}"/>
    <hyperlink ref="C8" location="'Competencies 4-6'!C5" display="Building Trust and Collaborating with Others" xr:uid="{00000000-0004-0000-0200-000003000000}"/>
    <hyperlink ref="C9" location="'Competencies 4-6'!J5" display="Communication and Interpersonal Influence" xr:uid="{00000000-0004-0000-0200-000004000000}"/>
    <hyperlink ref="C10" location="'Competencies 4-6'!Q5" display="Conflict Management and Conflict Resolution" xr:uid="{00000000-0004-0000-0200-000005000000}"/>
    <hyperlink ref="C11" location="'Competencies 7-9'!C5" display="Content Marketing, Digital Marketing, and Marketing Strategies" xr:uid="{00000000-0004-0000-0200-000006000000}"/>
    <hyperlink ref="C12" location="'Competencies 7-9'!J5" display="Creative Thinking and Innovation" xr:uid="{00000000-0004-0000-0200-000007000000}"/>
    <hyperlink ref="C13" location="'Competencies 7-9'!Q5" display="Critical Thinking, Decision Making, and Problem Solving" xr:uid="{00000000-0004-0000-0200-000008000000}"/>
    <hyperlink ref="C14" location="'Competencies 10-12'!C5" display="Customer Focus" xr:uid="{00000000-0004-0000-0200-000009000000}"/>
    <hyperlink ref="C15" location="'Competencies 10-12'!J5" display="Data Analysis" xr:uid="{00000000-0004-0000-0200-00000A000000}"/>
    <hyperlink ref="C16" location="'Competencies 10-12'!Q5" display="Designing, Training, and Instructing Courses" xr:uid="{00000000-0004-0000-0200-00000B000000}"/>
    <hyperlink ref="C17" location="'Competencies 13-15'!C5" display="Financial and Accounting Knowledge" xr:uid="{00000000-0004-0000-0200-00000C000000}"/>
    <hyperlink ref="C18" location="'Competencies 13-15'!J5" display="Human Resources Knowledge and HR Management" xr:uid="{00000000-0004-0000-0200-00000D000000}"/>
    <hyperlink ref="C19" location="'Competencies 13-15'!Q5" display="IT, Machine Learning, &amp; Technology Foundational Knowledge" xr:uid="{00000000-0004-0000-0200-00000E000000}"/>
    <hyperlink ref="C20" location="'Competencies 16-18'!C5" display="Leading Change" xr:uid="{00000000-0004-0000-0200-00000F000000}"/>
    <hyperlink ref="C21" location="'Competencies 16-18'!J5" display="Leading Others Effectively and Transformational Leadership" xr:uid="{00000000-0004-0000-0200-000010000000}"/>
    <hyperlink ref="C22" location="'Competencies 16-18'!Q5" display="Managing Others Effectively" xr:uid="{00000000-0004-0000-0200-000011000000}"/>
    <hyperlink ref="C23" location="'Competencies 19-21'!C5" display="Operational Excellence and Process Improvement" xr:uid="{00000000-0004-0000-0200-000012000000}"/>
    <hyperlink ref="C24" location="'Competencies 19-21'!J5" display="Presentation Skills" xr:uid="{00000000-0004-0000-0200-000013000000}"/>
    <hyperlink ref="C25" location="'Competencies 19-21'!Q5" display="Project Management" xr:uid="{00000000-0004-0000-0200-000014000000}"/>
    <hyperlink ref="C26" location="'Competencies 22-24'!C5" display="Sales Knowledge and Sales Skills" xr:uid="{00000000-0004-0000-0200-000015000000}"/>
    <hyperlink ref="C27" location="'Competencies 22-24'!J5" display="Strategic Planning and Strategic Thinking" xr:uid="{00000000-0004-0000-0200-000016000000}"/>
    <hyperlink ref="C28" location="'Competencies 22-24'!Q5" display="Talent Development" xr:uid="{00000000-0004-0000-0200-000017000000}"/>
    <hyperlink ref="C29" location="'Competencies 25-27'!C5" display="Talent Management" xr:uid="{00000000-0004-0000-0200-000018000000}"/>
    <hyperlink ref="C30" location="'Competencies 25-27'!J5" display="Values Diversity, Inclusion, and Belonging" xr:uid="{00000000-0004-0000-0200-000019000000}"/>
    <hyperlink ref="C31" location="'Competencies 25-27'!Q5" display="Writing Skills and Writing Proficiency" xr:uid="{00000000-0004-0000-0200-00001A000000}"/>
    <hyperlink ref="C32" location="'Competencies 28'!C4" display="Self-care, Wellbeing, Mindfulness" xr:uid="{00000000-0004-0000-0200-00001B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B9A5B"/>
    <outlinePr summaryRight="0"/>
  </sheetPr>
  <dimension ref="A1:Q32"/>
  <sheetViews>
    <sheetView showGridLines="0" workbookViewId="0">
      <pane ySplit="4" topLeftCell="A5" activePane="bottomLeft" state="frozen"/>
      <selection pane="bottomLeft" activeCell="M1" sqref="M1:N1"/>
    </sheetView>
  </sheetViews>
  <sheetFormatPr baseColWidth="10" defaultColWidth="14.5" defaultRowHeight="15.75" customHeight="1" outlineLevelRow="1" x14ac:dyDescent="0.15"/>
  <cols>
    <col min="1" max="1" width="7.33203125" customWidth="1"/>
    <col min="2" max="2" width="20.33203125" customWidth="1"/>
    <col min="3" max="3" width="6.5" customWidth="1"/>
    <col min="4" max="5" width="13.5" customWidth="1"/>
    <col min="6" max="6" width="36.5" customWidth="1"/>
    <col min="7" max="7" width="7.33203125" customWidth="1"/>
    <col min="8" max="8" width="13.5" customWidth="1"/>
    <col min="9" max="9" width="18" customWidth="1"/>
    <col min="10" max="10" width="0.5" customWidth="1"/>
    <col min="11" max="11" width="31.33203125" customWidth="1"/>
    <col min="12" max="12" width="0.6640625" customWidth="1"/>
    <col min="13" max="13" width="31.83203125" customWidth="1"/>
    <col min="14" max="14" width="18" hidden="1" customWidth="1"/>
    <col min="15" max="15" width="36.83203125" hidden="1" customWidth="1"/>
    <col min="16" max="16" width="32.5" hidden="1" customWidth="1"/>
    <col min="17" max="17" width="7.33203125" customWidth="1"/>
  </cols>
  <sheetData>
    <row r="1" spans="1:17" ht="45" customHeight="1" outlineLevel="1" x14ac:dyDescent="0.3">
      <c r="A1" s="110"/>
      <c r="B1" s="178" t="s">
        <v>1460</v>
      </c>
      <c r="C1" s="207"/>
      <c r="D1" s="207"/>
      <c r="E1" s="207"/>
      <c r="F1" s="207"/>
      <c r="G1" s="207"/>
      <c r="H1" s="207"/>
      <c r="I1" s="207"/>
      <c r="J1" s="207"/>
      <c r="K1" s="207"/>
      <c r="L1" s="111"/>
      <c r="M1" s="208" t="s">
        <v>1370</v>
      </c>
      <c r="N1" s="209"/>
      <c r="O1" s="112"/>
      <c r="P1" s="112"/>
      <c r="Q1" s="113"/>
    </row>
    <row r="2" spans="1:17" ht="21" outlineLevel="1" x14ac:dyDescent="0.2">
      <c r="A2" s="110"/>
      <c r="B2" s="179" t="s">
        <v>1404</v>
      </c>
      <c r="C2" s="210"/>
      <c r="D2" s="210"/>
      <c r="E2" s="210"/>
      <c r="F2" s="210"/>
      <c r="G2" s="114"/>
      <c r="H2" s="114"/>
      <c r="I2" s="180"/>
      <c r="J2" s="211"/>
      <c r="K2" s="211"/>
      <c r="L2" s="115"/>
      <c r="M2" s="115"/>
      <c r="N2" s="115"/>
      <c r="O2" s="115"/>
      <c r="P2" s="116"/>
      <c r="Q2" s="113"/>
    </row>
    <row r="3" spans="1:17" ht="21" outlineLevel="1" x14ac:dyDescent="0.2">
      <c r="A3" s="110"/>
      <c r="B3" s="212" t="s">
        <v>1405</v>
      </c>
      <c r="C3" s="211"/>
      <c r="D3" s="211"/>
      <c r="E3" s="211"/>
      <c r="F3" s="213"/>
      <c r="G3" s="115"/>
      <c r="H3" s="180" t="s">
        <v>1406</v>
      </c>
      <c r="I3" s="211"/>
      <c r="J3" s="211"/>
      <c r="K3" s="211"/>
      <c r="L3" s="211"/>
      <c r="M3" s="211"/>
      <c r="N3" s="181" t="s">
        <v>1407</v>
      </c>
      <c r="O3" s="160"/>
      <c r="P3" s="166"/>
      <c r="Q3" s="113"/>
    </row>
    <row r="4" spans="1:17" ht="7.5" customHeight="1" outlineLevel="1" x14ac:dyDescent="0.15">
      <c r="A4" s="117"/>
      <c r="B4" s="118"/>
      <c r="C4" s="118"/>
      <c r="D4" s="118"/>
      <c r="E4" s="182"/>
      <c r="F4" s="177"/>
      <c r="G4" s="119"/>
      <c r="H4" s="175"/>
      <c r="I4" s="176"/>
      <c r="J4" s="176"/>
      <c r="K4" s="176"/>
      <c r="L4" s="176"/>
      <c r="M4" s="177"/>
      <c r="N4" s="119"/>
      <c r="O4" s="119"/>
      <c r="P4" s="119"/>
      <c r="Q4" s="118"/>
    </row>
    <row r="5" spans="1:17" ht="93.75" customHeight="1" x14ac:dyDescent="0.2">
      <c r="A5" s="120" t="s">
        <v>9</v>
      </c>
      <c r="B5" s="121"/>
      <c r="C5" s="214" t="s">
        <v>1408</v>
      </c>
      <c r="D5" s="215"/>
      <c r="E5" s="215"/>
      <c r="F5" s="216"/>
      <c r="G5" s="122"/>
      <c r="H5" s="171" t="s">
        <v>1409</v>
      </c>
      <c r="I5" s="215"/>
      <c r="J5" s="215"/>
      <c r="K5" s="215"/>
      <c r="L5" s="215"/>
      <c r="M5" s="216"/>
      <c r="N5" s="183" t="s">
        <v>1375</v>
      </c>
      <c r="O5" s="184"/>
      <c r="P5" s="185"/>
      <c r="Q5" s="113"/>
    </row>
    <row r="6" spans="1:17" ht="93.75" customHeight="1" x14ac:dyDescent="0.2">
      <c r="A6" s="120" t="s">
        <v>98</v>
      </c>
      <c r="B6" s="121"/>
      <c r="C6" s="214" t="s">
        <v>1315</v>
      </c>
      <c r="D6" s="215"/>
      <c r="E6" s="215"/>
      <c r="F6" s="216"/>
      <c r="G6" s="122"/>
      <c r="H6" s="171" t="s">
        <v>1410</v>
      </c>
      <c r="I6" s="215"/>
      <c r="J6" s="215"/>
      <c r="K6" s="215"/>
      <c r="L6" s="215"/>
      <c r="M6" s="216"/>
      <c r="N6" s="172" t="s">
        <v>1376</v>
      </c>
      <c r="O6" s="173"/>
      <c r="P6" s="174"/>
      <c r="Q6" s="113"/>
    </row>
    <row r="7" spans="1:17" ht="93.75" customHeight="1" x14ac:dyDescent="0.2">
      <c r="A7" s="120" t="s">
        <v>140</v>
      </c>
      <c r="B7" s="121"/>
      <c r="C7" s="214" t="s">
        <v>140</v>
      </c>
      <c r="D7" s="215"/>
      <c r="E7" s="215"/>
      <c r="F7" s="216"/>
      <c r="G7" s="122"/>
      <c r="H7" s="171" t="s">
        <v>1411</v>
      </c>
      <c r="I7" s="215"/>
      <c r="J7" s="215"/>
      <c r="K7" s="215"/>
      <c r="L7" s="215"/>
      <c r="M7" s="216"/>
      <c r="N7" s="172" t="s">
        <v>1378</v>
      </c>
      <c r="O7" s="173"/>
      <c r="P7" s="174"/>
      <c r="Q7" s="113"/>
    </row>
    <row r="8" spans="1:17" ht="93.75" customHeight="1" x14ac:dyDescent="0.2">
      <c r="A8" s="120" t="s">
        <v>197</v>
      </c>
      <c r="B8" s="121"/>
      <c r="C8" s="214" t="s">
        <v>197</v>
      </c>
      <c r="D8" s="215"/>
      <c r="E8" s="215"/>
      <c r="F8" s="216"/>
      <c r="G8" s="122"/>
      <c r="H8" s="171" t="s">
        <v>1412</v>
      </c>
      <c r="I8" s="215"/>
      <c r="J8" s="215"/>
      <c r="K8" s="215"/>
      <c r="L8" s="215"/>
      <c r="M8" s="216"/>
      <c r="N8" s="172" t="s">
        <v>1379</v>
      </c>
      <c r="O8" s="173"/>
      <c r="P8" s="174"/>
      <c r="Q8" s="113"/>
    </row>
    <row r="9" spans="1:17" ht="93.75" customHeight="1" x14ac:dyDescent="0.2">
      <c r="A9" s="120" t="s">
        <v>244</v>
      </c>
      <c r="B9" s="121"/>
      <c r="C9" s="214" t="s">
        <v>251</v>
      </c>
      <c r="D9" s="215"/>
      <c r="E9" s="215"/>
      <c r="F9" s="216"/>
      <c r="G9" s="122"/>
      <c r="H9" s="171" t="s">
        <v>1413</v>
      </c>
      <c r="I9" s="215"/>
      <c r="J9" s="215"/>
      <c r="K9" s="215"/>
      <c r="L9" s="215"/>
      <c r="M9" s="216"/>
      <c r="N9" s="172" t="s">
        <v>1380</v>
      </c>
      <c r="O9" s="173"/>
      <c r="P9" s="174"/>
      <c r="Q9" s="113"/>
    </row>
    <row r="10" spans="1:17" ht="93.75" customHeight="1" x14ac:dyDescent="0.2">
      <c r="A10" s="120" t="s">
        <v>303</v>
      </c>
      <c r="B10" s="121"/>
      <c r="C10" s="214" t="s">
        <v>1414</v>
      </c>
      <c r="D10" s="215"/>
      <c r="E10" s="215"/>
      <c r="F10" s="216"/>
      <c r="G10" s="122"/>
      <c r="H10" s="171" t="s">
        <v>1415</v>
      </c>
      <c r="I10" s="215"/>
      <c r="J10" s="215"/>
      <c r="K10" s="215"/>
      <c r="L10" s="215"/>
      <c r="M10" s="216"/>
      <c r="N10" s="172" t="s">
        <v>1381</v>
      </c>
      <c r="O10" s="173"/>
      <c r="P10" s="174"/>
      <c r="Q10" s="113"/>
    </row>
    <row r="11" spans="1:17" ht="93.75" customHeight="1" x14ac:dyDescent="0.2">
      <c r="A11" s="120" t="s">
        <v>329</v>
      </c>
      <c r="B11" s="121"/>
      <c r="C11" s="217" t="s">
        <v>344</v>
      </c>
      <c r="D11" s="215"/>
      <c r="E11" s="215"/>
      <c r="F11" s="216"/>
      <c r="G11" s="122"/>
      <c r="H11" s="171" t="s">
        <v>1416</v>
      </c>
      <c r="I11" s="215"/>
      <c r="J11" s="215"/>
      <c r="K11" s="215"/>
      <c r="L11" s="215"/>
      <c r="M11" s="216"/>
      <c r="N11" s="172" t="s">
        <v>1382</v>
      </c>
      <c r="O11" s="173"/>
      <c r="P11" s="174"/>
      <c r="Q11" s="113"/>
    </row>
    <row r="12" spans="1:17" ht="93.75" customHeight="1" x14ac:dyDescent="0.2">
      <c r="A12" s="120" t="s">
        <v>445</v>
      </c>
      <c r="B12" s="121"/>
      <c r="C12" s="214" t="s">
        <v>450</v>
      </c>
      <c r="D12" s="215"/>
      <c r="E12" s="215"/>
      <c r="F12" s="216"/>
      <c r="G12" s="122"/>
      <c r="H12" s="171" t="s">
        <v>1417</v>
      </c>
      <c r="I12" s="215"/>
      <c r="J12" s="215"/>
      <c r="K12" s="215"/>
      <c r="L12" s="215"/>
      <c r="M12" s="216"/>
      <c r="N12" s="172" t="s">
        <v>1383</v>
      </c>
      <c r="O12" s="173"/>
      <c r="P12" s="174"/>
      <c r="Q12" s="113"/>
    </row>
    <row r="13" spans="1:17" ht="93.75" customHeight="1" x14ac:dyDescent="0.2">
      <c r="A13" s="120" t="s">
        <v>486</v>
      </c>
      <c r="B13" s="121"/>
      <c r="C13" s="214" t="s">
        <v>1418</v>
      </c>
      <c r="D13" s="215"/>
      <c r="E13" s="215"/>
      <c r="F13" s="216"/>
      <c r="G13" s="122"/>
      <c r="H13" s="171" t="s">
        <v>1419</v>
      </c>
      <c r="I13" s="215"/>
      <c r="J13" s="215"/>
      <c r="K13" s="215"/>
      <c r="L13" s="215"/>
      <c r="M13" s="216"/>
      <c r="N13" s="172" t="s">
        <v>1384</v>
      </c>
      <c r="O13" s="173"/>
      <c r="P13" s="174"/>
      <c r="Q13" s="113"/>
    </row>
    <row r="14" spans="1:17" ht="93.75" customHeight="1" x14ac:dyDescent="0.2">
      <c r="A14" s="120" t="s">
        <v>505</v>
      </c>
      <c r="B14" s="121"/>
      <c r="C14" s="214" t="s">
        <v>1420</v>
      </c>
      <c r="D14" s="215"/>
      <c r="E14" s="215"/>
      <c r="F14" s="216"/>
      <c r="G14" s="122"/>
      <c r="H14" s="171" t="s">
        <v>1421</v>
      </c>
      <c r="I14" s="215"/>
      <c r="J14" s="215"/>
      <c r="K14" s="215"/>
      <c r="L14" s="215"/>
      <c r="M14" s="216"/>
      <c r="N14" s="172" t="s">
        <v>1385</v>
      </c>
      <c r="O14" s="173"/>
      <c r="P14" s="174"/>
      <c r="Q14" s="113"/>
    </row>
    <row r="15" spans="1:17" ht="93.75" customHeight="1" x14ac:dyDescent="0.2">
      <c r="A15" s="120" t="s">
        <v>564</v>
      </c>
      <c r="B15" s="121"/>
      <c r="C15" s="214" t="s">
        <v>1422</v>
      </c>
      <c r="D15" s="215"/>
      <c r="E15" s="215"/>
      <c r="F15" s="216"/>
      <c r="G15" s="122"/>
      <c r="H15" s="171" t="s">
        <v>1423</v>
      </c>
      <c r="I15" s="215"/>
      <c r="J15" s="215"/>
      <c r="K15" s="215"/>
      <c r="L15" s="215"/>
      <c r="M15" s="216"/>
      <c r="N15" s="172" t="s">
        <v>1386</v>
      </c>
      <c r="O15" s="173"/>
      <c r="P15" s="174"/>
      <c r="Q15" s="113"/>
    </row>
    <row r="16" spans="1:17" ht="93.75" customHeight="1" x14ac:dyDescent="0.2">
      <c r="A16" s="120" t="s">
        <v>660</v>
      </c>
      <c r="B16" s="121"/>
      <c r="C16" s="214" t="s">
        <v>661</v>
      </c>
      <c r="D16" s="215"/>
      <c r="E16" s="215"/>
      <c r="F16" s="216"/>
      <c r="G16" s="122"/>
      <c r="H16" s="171" t="s">
        <v>1424</v>
      </c>
      <c r="I16" s="215"/>
      <c r="J16" s="215"/>
      <c r="K16" s="215"/>
      <c r="L16" s="215"/>
      <c r="M16" s="216"/>
      <c r="N16" s="172" t="s">
        <v>1387</v>
      </c>
      <c r="O16" s="173"/>
      <c r="P16" s="174"/>
      <c r="Q16" s="113"/>
    </row>
    <row r="17" spans="1:17" ht="93.75" customHeight="1" x14ac:dyDescent="0.2">
      <c r="A17" s="120" t="s">
        <v>694</v>
      </c>
      <c r="B17" s="121"/>
      <c r="C17" s="217" t="s">
        <v>1425</v>
      </c>
      <c r="D17" s="215"/>
      <c r="E17" s="215"/>
      <c r="F17" s="216"/>
      <c r="G17" s="122"/>
      <c r="H17" s="171" t="s">
        <v>1426</v>
      </c>
      <c r="I17" s="215"/>
      <c r="J17" s="215"/>
      <c r="K17" s="215"/>
      <c r="L17" s="215"/>
      <c r="M17" s="216"/>
      <c r="N17" s="172" t="s">
        <v>1388</v>
      </c>
      <c r="O17" s="173"/>
      <c r="P17" s="174"/>
      <c r="Q17" s="113"/>
    </row>
    <row r="18" spans="1:17" ht="93.75" customHeight="1" x14ac:dyDescent="0.2">
      <c r="A18" s="120" t="s">
        <v>748</v>
      </c>
      <c r="B18" s="121"/>
      <c r="C18" s="217" t="s">
        <v>754</v>
      </c>
      <c r="D18" s="215"/>
      <c r="E18" s="215"/>
      <c r="F18" s="216"/>
      <c r="G18" s="122"/>
      <c r="H18" s="171" t="s">
        <v>1427</v>
      </c>
      <c r="I18" s="215"/>
      <c r="J18" s="215"/>
      <c r="K18" s="215"/>
      <c r="L18" s="215"/>
      <c r="M18" s="216"/>
      <c r="N18" s="172" t="s">
        <v>1389</v>
      </c>
      <c r="O18" s="173"/>
      <c r="P18" s="174"/>
      <c r="Q18" s="113"/>
    </row>
    <row r="19" spans="1:17" ht="93.75" customHeight="1" x14ac:dyDescent="0.2">
      <c r="A19" s="120" t="s">
        <v>817</v>
      </c>
      <c r="B19" s="121"/>
      <c r="C19" s="217" t="s">
        <v>1428</v>
      </c>
      <c r="D19" s="215"/>
      <c r="E19" s="215"/>
      <c r="F19" s="216"/>
      <c r="G19" s="122"/>
      <c r="H19" s="171" t="s">
        <v>1429</v>
      </c>
      <c r="I19" s="215"/>
      <c r="J19" s="215"/>
      <c r="K19" s="215"/>
      <c r="L19" s="215"/>
      <c r="M19" s="216"/>
      <c r="N19" s="172" t="s">
        <v>1390</v>
      </c>
      <c r="O19" s="173"/>
      <c r="P19" s="174"/>
      <c r="Q19" s="113"/>
    </row>
    <row r="20" spans="1:17" ht="93.75" customHeight="1" x14ac:dyDescent="0.2">
      <c r="A20" s="120" t="s">
        <v>890</v>
      </c>
      <c r="B20" s="121"/>
      <c r="C20" s="217" t="s">
        <v>891</v>
      </c>
      <c r="D20" s="215"/>
      <c r="E20" s="215"/>
      <c r="F20" s="216"/>
      <c r="G20" s="122"/>
      <c r="H20" s="171" t="s">
        <v>1430</v>
      </c>
      <c r="I20" s="215"/>
      <c r="J20" s="215"/>
      <c r="K20" s="215"/>
      <c r="L20" s="215"/>
      <c r="M20" s="216"/>
      <c r="N20" s="172" t="s">
        <v>1391</v>
      </c>
      <c r="O20" s="173"/>
      <c r="P20" s="174"/>
      <c r="Q20" s="113"/>
    </row>
    <row r="21" spans="1:17" ht="93.75" customHeight="1" x14ac:dyDescent="0.2">
      <c r="A21" s="120" t="s">
        <v>921</v>
      </c>
      <c r="B21" s="121"/>
      <c r="C21" s="214" t="s">
        <v>922</v>
      </c>
      <c r="D21" s="215"/>
      <c r="E21" s="215"/>
      <c r="F21" s="216"/>
      <c r="G21" s="122"/>
      <c r="H21" s="171" t="s">
        <v>1431</v>
      </c>
      <c r="I21" s="215"/>
      <c r="J21" s="215"/>
      <c r="K21" s="215"/>
      <c r="L21" s="215"/>
      <c r="M21" s="216"/>
      <c r="N21" s="172" t="s">
        <v>1392</v>
      </c>
      <c r="O21" s="173"/>
      <c r="P21" s="174"/>
      <c r="Q21" s="113"/>
    </row>
    <row r="22" spans="1:17" ht="93.75" customHeight="1" x14ac:dyDescent="0.2">
      <c r="A22" s="120" t="s">
        <v>981</v>
      </c>
      <c r="B22" s="121"/>
      <c r="C22" s="214" t="s">
        <v>981</v>
      </c>
      <c r="D22" s="215"/>
      <c r="E22" s="215"/>
      <c r="F22" s="216"/>
      <c r="G22" s="122"/>
      <c r="H22" s="171" t="s">
        <v>1432</v>
      </c>
      <c r="I22" s="215"/>
      <c r="J22" s="215"/>
      <c r="K22" s="215"/>
      <c r="L22" s="215"/>
      <c r="M22" s="216"/>
      <c r="N22" s="172" t="s">
        <v>1433</v>
      </c>
      <c r="O22" s="173"/>
      <c r="P22" s="174"/>
      <c r="Q22" s="113"/>
    </row>
    <row r="23" spans="1:17" ht="93.75" customHeight="1" x14ac:dyDescent="0.2">
      <c r="A23" s="120" t="s">
        <v>1011</v>
      </c>
      <c r="B23" s="121"/>
      <c r="C23" s="217" t="s">
        <v>1434</v>
      </c>
      <c r="D23" s="215"/>
      <c r="E23" s="215"/>
      <c r="F23" s="216"/>
      <c r="G23" s="122"/>
      <c r="H23" s="171" t="s">
        <v>1435</v>
      </c>
      <c r="I23" s="215"/>
      <c r="J23" s="215"/>
      <c r="K23" s="215"/>
      <c r="L23" s="215"/>
      <c r="M23" s="216"/>
      <c r="N23" s="172" t="s">
        <v>1394</v>
      </c>
      <c r="O23" s="173"/>
      <c r="P23" s="174"/>
      <c r="Q23" s="113"/>
    </row>
    <row r="24" spans="1:17" ht="93.75" customHeight="1" x14ac:dyDescent="0.2">
      <c r="A24" s="120" t="s">
        <v>1062</v>
      </c>
      <c r="B24" s="121"/>
      <c r="C24" s="214" t="s">
        <v>1436</v>
      </c>
      <c r="D24" s="215"/>
      <c r="E24" s="215"/>
      <c r="F24" s="216"/>
      <c r="G24" s="122"/>
      <c r="H24" s="171" t="s">
        <v>1437</v>
      </c>
      <c r="I24" s="215"/>
      <c r="J24" s="215"/>
      <c r="K24" s="215"/>
      <c r="L24" s="215"/>
      <c r="M24" s="216"/>
      <c r="N24" s="172" t="s">
        <v>1395</v>
      </c>
      <c r="O24" s="173"/>
      <c r="P24" s="174"/>
      <c r="Q24" s="113"/>
    </row>
    <row r="25" spans="1:17" ht="93.75" customHeight="1" x14ac:dyDescent="0.2">
      <c r="A25" s="120" t="s">
        <v>1103</v>
      </c>
      <c r="B25" s="121"/>
      <c r="C25" s="214" t="s">
        <v>1438</v>
      </c>
      <c r="D25" s="215"/>
      <c r="E25" s="215"/>
      <c r="F25" s="216"/>
      <c r="G25" s="122"/>
      <c r="H25" s="171" t="s">
        <v>1439</v>
      </c>
      <c r="I25" s="215"/>
      <c r="J25" s="215"/>
      <c r="K25" s="215"/>
      <c r="L25" s="215"/>
      <c r="M25" s="216"/>
      <c r="N25" s="172" t="s">
        <v>1396</v>
      </c>
      <c r="O25" s="173"/>
      <c r="P25" s="174"/>
      <c r="Q25" s="113"/>
    </row>
    <row r="26" spans="1:17" ht="93.75" customHeight="1" x14ac:dyDescent="0.2">
      <c r="A26" s="123" t="s">
        <v>1150</v>
      </c>
      <c r="B26" s="121"/>
      <c r="C26" s="214" t="s">
        <v>1440</v>
      </c>
      <c r="D26" s="215"/>
      <c r="E26" s="215"/>
      <c r="F26" s="216"/>
      <c r="G26" s="122"/>
      <c r="H26" s="171" t="s">
        <v>1441</v>
      </c>
      <c r="I26" s="215"/>
      <c r="J26" s="215"/>
      <c r="K26" s="215"/>
      <c r="L26" s="215"/>
      <c r="M26" s="216"/>
      <c r="N26" s="172" t="s">
        <v>1397</v>
      </c>
      <c r="O26" s="173"/>
      <c r="P26" s="174"/>
      <c r="Q26" s="113"/>
    </row>
    <row r="27" spans="1:17" ht="93.75" customHeight="1" x14ac:dyDescent="0.2">
      <c r="A27" s="124" t="s">
        <v>1171</v>
      </c>
      <c r="B27" s="121"/>
      <c r="C27" s="214" t="s">
        <v>1442</v>
      </c>
      <c r="D27" s="215"/>
      <c r="E27" s="215"/>
      <c r="F27" s="216"/>
      <c r="G27" s="122"/>
      <c r="H27" s="171" t="s">
        <v>1443</v>
      </c>
      <c r="I27" s="215"/>
      <c r="J27" s="215"/>
      <c r="K27" s="215"/>
      <c r="L27" s="215"/>
      <c r="M27" s="216"/>
      <c r="N27" s="172" t="s">
        <v>1398</v>
      </c>
      <c r="O27" s="173"/>
      <c r="P27" s="174"/>
      <c r="Q27" s="113"/>
    </row>
    <row r="28" spans="1:17" ht="93.75" customHeight="1" x14ac:dyDescent="0.2">
      <c r="A28" s="120" t="s">
        <v>1207</v>
      </c>
      <c r="B28" s="121"/>
      <c r="C28" s="217" t="s">
        <v>1444</v>
      </c>
      <c r="D28" s="215"/>
      <c r="E28" s="215"/>
      <c r="F28" s="216"/>
      <c r="G28" s="122"/>
      <c r="H28" s="171" t="s">
        <v>1445</v>
      </c>
      <c r="I28" s="215"/>
      <c r="J28" s="215"/>
      <c r="K28" s="215"/>
      <c r="L28" s="215"/>
      <c r="M28" s="216"/>
      <c r="N28" s="172" t="s">
        <v>1399</v>
      </c>
      <c r="O28" s="173"/>
      <c r="P28" s="174"/>
      <c r="Q28" s="113"/>
    </row>
    <row r="29" spans="1:17" ht="93.75" customHeight="1" x14ac:dyDescent="0.2">
      <c r="A29" s="120" t="s">
        <v>992</v>
      </c>
      <c r="B29" s="121"/>
      <c r="C29" s="217" t="s">
        <v>1446</v>
      </c>
      <c r="D29" s="215"/>
      <c r="E29" s="215"/>
      <c r="F29" s="216"/>
      <c r="G29" s="122"/>
      <c r="H29" s="171" t="s">
        <v>1447</v>
      </c>
      <c r="I29" s="215"/>
      <c r="J29" s="215"/>
      <c r="K29" s="215"/>
      <c r="L29" s="215"/>
      <c r="M29" s="216"/>
      <c r="N29" s="172" t="s">
        <v>1448</v>
      </c>
      <c r="O29" s="173"/>
      <c r="P29" s="174"/>
      <c r="Q29" s="113"/>
    </row>
    <row r="30" spans="1:17" ht="93.75" customHeight="1" x14ac:dyDescent="0.2">
      <c r="A30" s="123" t="s">
        <v>1238</v>
      </c>
      <c r="B30" s="121"/>
      <c r="C30" s="217" t="s">
        <v>1449</v>
      </c>
      <c r="D30" s="215"/>
      <c r="E30" s="215"/>
      <c r="F30" s="216"/>
      <c r="G30" s="122"/>
      <c r="H30" s="171" t="s">
        <v>1450</v>
      </c>
      <c r="I30" s="215"/>
      <c r="J30" s="215"/>
      <c r="K30" s="215"/>
      <c r="L30" s="215"/>
      <c r="M30" s="216"/>
      <c r="N30" s="172" t="s">
        <v>1401</v>
      </c>
      <c r="O30" s="173"/>
      <c r="P30" s="174"/>
      <c r="Q30" s="113"/>
    </row>
    <row r="31" spans="1:17" ht="93.75" customHeight="1" x14ac:dyDescent="0.2">
      <c r="A31" s="120" t="s">
        <v>1271</v>
      </c>
      <c r="B31" s="121"/>
      <c r="C31" s="214" t="s">
        <v>1451</v>
      </c>
      <c r="D31" s="215"/>
      <c r="E31" s="215"/>
      <c r="F31" s="216"/>
      <c r="G31" s="122"/>
      <c r="H31" s="171" t="s">
        <v>1452</v>
      </c>
      <c r="I31" s="215"/>
      <c r="J31" s="215"/>
      <c r="K31" s="215"/>
      <c r="L31" s="215"/>
      <c r="M31" s="216"/>
      <c r="N31" s="172" t="s">
        <v>1402</v>
      </c>
      <c r="O31" s="173"/>
      <c r="P31" s="174"/>
      <c r="Q31" s="113"/>
    </row>
    <row r="32" spans="1:17" ht="93.75" customHeight="1" x14ac:dyDescent="0.2">
      <c r="A32" s="123" t="s">
        <v>1312</v>
      </c>
      <c r="B32" s="125"/>
      <c r="C32" s="217" t="s">
        <v>1318</v>
      </c>
      <c r="D32" s="215"/>
      <c r="E32" s="215"/>
      <c r="F32" s="216"/>
      <c r="G32" s="126"/>
      <c r="H32" s="171" t="s">
        <v>1453</v>
      </c>
      <c r="I32" s="215"/>
      <c r="J32" s="215"/>
      <c r="K32" s="215"/>
      <c r="L32" s="215"/>
      <c r="M32" s="216"/>
      <c r="N32" s="172" t="s">
        <v>1454</v>
      </c>
      <c r="O32" s="173"/>
      <c r="P32" s="174"/>
      <c r="Q32" s="113"/>
    </row>
  </sheetData>
  <mergeCells count="93">
    <mergeCell ref="C32:F32"/>
    <mergeCell ref="H32:M32"/>
    <mergeCell ref="N32:P32"/>
    <mergeCell ref="H10:M10"/>
    <mergeCell ref="N10:P10"/>
    <mergeCell ref="C8:F8"/>
    <mergeCell ref="H8:M8"/>
    <mergeCell ref="N8:P8"/>
    <mergeCell ref="C9:F9"/>
    <mergeCell ref="H9:M9"/>
    <mergeCell ref="N9:P9"/>
    <mergeCell ref="C10:F10"/>
    <mergeCell ref="H7:M7"/>
    <mergeCell ref="N7:P7"/>
    <mergeCell ref="C5:F5"/>
    <mergeCell ref="H5:M5"/>
    <mergeCell ref="N5:P5"/>
    <mergeCell ref="C6:F6"/>
    <mergeCell ref="H6:M6"/>
    <mergeCell ref="N6:P6"/>
    <mergeCell ref="C7:F7"/>
    <mergeCell ref="H3:M3"/>
    <mergeCell ref="H4:M4"/>
    <mergeCell ref="B1:K1"/>
    <mergeCell ref="M1:N1"/>
    <mergeCell ref="B2:F2"/>
    <mergeCell ref="I2:K2"/>
    <mergeCell ref="B3:F3"/>
    <mergeCell ref="N3:P3"/>
    <mergeCell ref="E4:F4"/>
    <mergeCell ref="H31:M31"/>
    <mergeCell ref="N31:P31"/>
    <mergeCell ref="C29:F29"/>
    <mergeCell ref="H29:M29"/>
    <mergeCell ref="N29:P29"/>
    <mergeCell ref="C30:F30"/>
    <mergeCell ref="H30:M30"/>
    <mergeCell ref="N30:P30"/>
    <mergeCell ref="C31:F31"/>
    <mergeCell ref="H28:M28"/>
    <mergeCell ref="N28:P28"/>
    <mergeCell ref="C26:F26"/>
    <mergeCell ref="H26:M26"/>
    <mergeCell ref="N26:P26"/>
    <mergeCell ref="C27:F27"/>
    <mergeCell ref="H27:M27"/>
    <mergeCell ref="N27:P27"/>
    <mergeCell ref="C28:F28"/>
    <mergeCell ref="H25:M25"/>
    <mergeCell ref="N25:P25"/>
    <mergeCell ref="C23:F23"/>
    <mergeCell ref="H23:M23"/>
    <mergeCell ref="N23:P23"/>
    <mergeCell ref="C24:F24"/>
    <mergeCell ref="H24:M24"/>
    <mergeCell ref="N24:P24"/>
    <mergeCell ref="C25:F25"/>
    <mergeCell ref="H22:M22"/>
    <mergeCell ref="N22:P22"/>
    <mergeCell ref="C20:F20"/>
    <mergeCell ref="H20:M20"/>
    <mergeCell ref="N20:P20"/>
    <mergeCell ref="C21:F21"/>
    <mergeCell ref="H21:M21"/>
    <mergeCell ref="N21:P21"/>
    <mergeCell ref="C22:F22"/>
    <mergeCell ref="H19:M19"/>
    <mergeCell ref="N19:P19"/>
    <mergeCell ref="C17:F17"/>
    <mergeCell ref="H17:M17"/>
    <mergeCell ref="N17:P17"/>
    <mergeCell ref="C18:F18"/>
    <mergeCell ref="H18:M18"/>
    <mergeCell ref="N18:P18"/>
    <mergeCell ref="C19:F19"/>
    <mergeCell ref="H16:M16"/>
    <mergeCell ref="N16:P16"/>
    <mergeCell ref="C14:F14"/>
    <mergeCell ref="H14:M14"/>
    <mergeCell ref="N14:P14"/>
    <mergeCell ref="C15:F15"/>
    <mergeCell ref="H15:M15"/>
    <mergeCell ref="N15:P15"/>
    <mergeCell ref="C16:F16"/>
    <mergeCell ref="H13:M13"/>
    <mergeCell ref="N13:P13"/>
    <mergeCell ref="C11:F11"/>
    <mergeCell ref="H11:M11"/>
    <mergeCell ref="N11:P11"/>
    <mergeCell ref="C12:F12"/>
    <mergeCell ref="H12:M12"/>
    <mergeCell ref="N12:P12"/>
    <mergeCell ref="C13:F13"/>
  </mergeCells>
  <hyperlinks>
    <hyperlink ref="C5" r:id="rId1" xr:uid="{00000000-0004-0000-0300-000000000000}"/>
    <hyperlink ref="C6" r:id="rId2" xr:uid="{00000000-0004-0000-0300-000001000000}"/>
    <hyperlink ref="C7" r:id="rId3" xr:uid="{00000000-0004-0000-0300-000002000000}"/>
    <hyperlink ref="C8" r:id="rId4" xr:uid="{00000000-0004-0000-0300-000003000000}"/>
    <hyperlink ref="C9" r:id="rId5" xr:uid="{00000000-0004-0000-0300-000004000000}"/>
    <hyperlink ref="C10" r:id="rId6" xr:uid="{00000000-0004-0000-0300-000005000000}"/>
    <hyperlink ref="C11" r:id="rId7" xr:uid="{00000000-0004-0000-0300-000006000000}"/>
    <hyperlink ref="C12" r:id="rId8" xr:uid="{00000000-0004-0000-0300-000007000000}"/>
    <hyperlink ref="C13" r:id="rId9" xr:uid="{00000000-0004-0000-0300-000008000000}"/>
    <hyperlink ref="C14" r:id="rId10" xr:uid="{00000000-0004-0000-0300-000009000000}"/>
    <hyperlink ref="C15" r:id="rId11" xr:uid="{00000000-0004-0000-0300-00000A000000}"/>
    <hyperlink ref="C16" r:id="rId12" xr:uid="{00000000-0004-0000-0300-00000B000000}"/>
    <hyperlink ref="C17" r:id="rId13" xr:uid="{00000000-0004-0000-0300-00000C000000}"/>
    <hyperlink ref="C18" r:id="rId14" xr:uid="{00000000-0004-0000-0300-00000D000000}"/>
    <hyperlink ref="C19" r:id="rId15" xr:uid="{00000000-0004-0000-0300-00000E000000}"/>
    <hyperlink ref="C20" r:id="rId16" xr:uid="{00000000-0004-0000-0300-00000F000000}"/>
    <hyperlink ref="C21" r:id="rId17" xr:uid="{00000000-0004-0000-0300-000010000000}"/>
    <hyperlink ref="C22" r:id="rId18" xr:uid="{00000000-0004-0000-0300-000011000000}"/>
    <hyperlink ref="C23" r:id="rId19" xr:uid="{00000000-0004-0000-0300-000012000000}"/>
    <hyperlink ref="C24" r:id="rId20" xr:uid="{00000000-0004-0000-0300-000013000000}"/>
    <hyperlink ref="C25" r:id="rId21" xr:uid="{00000000-0004-0000-0300-000014000000}"/>
    <hyperlink ref="C26" r:id="rId22" xr:uid="{00000000-0004-0000-0300-000015000000}"/>
    <hyperlink ref="C27" r:id="rId23" xr:uid="{00000000-0004-0000-0300-000016000000}"/>
    <hyperlink ref="C28" r:id="rId24" xr:uid="{00000000-0004-0000-0300-000017000000}"/>
    <hyperlink ref="C29" r:id="rId25" xr:uid="{00000000-0004-0000-0300-000018000000}"/>
    <hyperlink ref="C30" r:id="rId26" xr:uid="{00000000-0004-0000-0300-000019000000}"/>
    <hyperlink ref="C31" r:id="rId27" xr:uid="{00000000-0004-0000-0300-00001A000000}"/>
    <hyperlink ref="C32" r:id="rId28" xr:uid="{00000000-0004-0000-0300-00001B000000}"/>
  </hyperlinks>
  <pageMargins left="0.7" right="0.7" top="0.75" bottom="0.75" header="0.3" footer="0.3"/>
  <drawing r:id="rId29"/>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1C4587"/>
    <outlinePr summaryRight="0"/>
  </sheetPr>
  <dimension ref="A1:V582"/>
  <sheetViews>
    <sheetView showGridLines="0" workbookViewId="0">
      <pane ySplit="4" topLeftCell="A5" activePane="bottomLeft" state="frozen"/>
      <selection pane="bottomLeft" activeCell="F17" sqref="F17"/>
    </sheetView>
  </sheetViews>
  <sheetFormatPr baseColWidth="10" defaultColWidth="14.5" defaultRowHeight="15.75" customHeight="1" outlineLevelRow="1" x14ac:dyDescent="0.15"/>
  <cols>
    <col min="1" max="2" width="0.6640625" customWidth="1"/>
    <col min="3" max="3" width="13.5" customWidth="1"/>
    <col min="4" max="4" width="18" customWidth="1"/>
    <col min="5" max="5" width="36.83203125" customWidth="1"/>
    <col min="6" max="6" width="37.5" customWidth="1"/>
    <col min="7" max="9" width="0.6640625" customWidth="1"/>
    <col min="10" max="10" width="13.5" customWidth="1"/>
    <col min="11" max="11" width="18" customWidth="1"/>
    <col min="12" max="12" width="36.83203125" customWidth="1"/>
    <col min="13" max="13" width="37.5" customWidth="1"/>
    <col min="14" max="16" width="0.6640625" customWidth="1"/>
    <col min="17" max="17" width="13.5" customWidth="1"/>
    <col min="18" max="18" width="18" customWidth="1"/>
    <col min="19" max="19" width="36.83203125" customWidth="1"/>
    <col min="20" max="20" width="37.5" customWidth="1"/>
    <col min="21" max="22" width="0.6640625" customWidth="1"/>
  </cols>
  <sheetData>
    <row r="1" spans="1:22" ht="27.75" customHeight="1" outlineLevel="1" x14ac:dyDescent="0.15">
      <c r="A1" s="127"/>
      <c r="B1" s="127"/>
      <c r="C1" s="188" t="s">
        <v>9</v>
      </c>
      <c r="D1" s="160"/>
      <c r="E1" s="160"/>
      <c r="F1" s="160"/>
      <c r="G1" s="127"/>
      <c r="H1" s="127"/>
      <c r="I1" s="127"/>
      <c r="J1" s="188" t="s">
        <v>98</v>
      </c>
      <c r="K1" s="160"/>
      <c r="L1" s="160"/>
      <c r="M1" s="160"/>
      <c r="N1" s="127"/>
      <c r="O1" s="127"/>
      <c r="P1" s="127"/>
      <c r="Q1" s="188" t="s">
        <v>140</v>
      </c>
      <c r="R1" s="160"/>
      <c r="S1" s="160"/>
      <c r="T1" s="160"/>
      <c r="U1" s="127"/>
      <c r="V1" s="127"/>
    </row>
    <row r="2" spans="1:22" ht="17" outlineLevel="1" x14ac:dyDescent="0.15">
      <c r="A2" s="128"/>
      <c r="B2" s="128"/>
      <c r="C2" s="186" t="s">
        <v>1407</v>
      </c>
      <c r="D2" s="160"/>
      <c r="E2" s="160"/>
      <c r="F2" s="160"/>
      <c r="G2" s="128"/>
      <c r="H2" s="128"/>
      <c r="I2" s="128"/>
      <c r="J2" s="186" t="s">
        <v>1407</v>
      </c>
      <c r="K2" s="160"/>
      <c r="L2" s="160"/>
      <c r="M2" s="160"/>
      <c r="N2" s="128"/>
      <c r="O2" s="128"/>
      <c r="P2" s="128"/>
      <c r="Q2" s="186" t="s">
        <v>1407</v>
      </c>
      <c r="R2" s="160"/>
      <c r="S2" s="160"/>
      <c r="T2" s="160"/>
      <c r="U2" s="128"/>
      <c r="V2" s="128"/>
    </row>
    <row r="3" spans="1:22" ht="50" customHeight="1" outlineLevel="1" x14ac:dyDescent="0.15">
      <c r="A3" s="129"/>
      <c r="B3" s="129"/>
      <c r="C3" s="187" t="str">
        <f ca="1">IFERROR(__xludf.DUMMYFUNCTION("IFERROR(UNIQUE(FILTER('Competency Learning Paths'!N:N,'Competency Learning Paths'!A:A= C1)))"),"Drive for Results, Action Oriented, Personal Accountability, Initiating Action, Initiative, Personal Initiative, Time Management, Perseverance, Drives Results, Being Resilient, Work Standards, Passion for Results")</f>
        <v>Drive for Results, Action Oriented, Personal Accountability, Initiating Action, Initiative, Personal Initiative, Time Management, Perseverance, Drives Results, Being Resilient, Work Standards, Passion for Results</v>
      </c>
      <c r="D3" s="160"/>
      <c r="E3" s="160"/>
      <c r="F3" s="160"/>
      <c r="G3" s="129"/>
      <c r="H3" s="129"/>
      <c r="I3" s="129"/>
      <c r="J3" s="187" t="str">
        <f ca="1">IFERROR(__xludf.DUMMYFUNCTION("IFERROR(UNIQUE(FILTER('Competency Learning Paths'!N:N,'Competency Learning Paths'!A:A= J1)))"),"Flexibility, Manages Ambiguity, Dealing With Paradox, Situational Adaptability, Dealing with Ambiguity, Active Learning, Learning Agility, Applied Learning, Nimble Learning, Learning on the Fly, Continuous Learning, Continuous Improvement")</f>
        <v>Flexibility, Manages Ambiguity, Dealing With Paradox, Situational Adaptability, Dealing with Ambiguity, Active Learning, Learning Agility, Applied Learning, Nimble Learning, Learning on the Fly, Continuous Learning, Continuous Improvement</v>
      </c>
      <c r="K3" s="160"/>
      <c r="L3" s="160"/>
      <c r="M3" s="160"/>
      <c r="N3" s="129"/>
      <c r="O3" s="129"/>
      <c r="P3" s="129"/>
      <c r="Q3" s="187" t="str">
        <f ca="1">IFERROR(__xludf.DUMMYFUNCTION("IFERROR(UNIQUE(FILTER('Competency Learning Paths'!N:N,'Competency Learning Paths'!A:A= Q1)))"),"Effective Teams,Team Building, Building a Successful Team, Influence Teams, Inspiring Employees")</f>
        <v>Effective Teams,Team Building, Building a Successful Team, Influence Teams, Inspiring Employees</v>
      </c>
      <c r="R3" s="160"/>
      <c r="S3" s="160"/>
      <c r="T3" s="160"/>
      <c r="U3" s="129"/>
      <c r="V3" s="129"/>
    </row>
    <row r="4" spans="1:22" ht="16" outlineLevel="1" x14ac:dyDescent="0.15">
      <c r="A4" s="130"/>
      <c r="B4" s="131"/>
      <c r="C4" s="132" t="str">
        <f ca="1">IFERROR(__xludf.DUMMYFUNCTION("FILTER('All Competencies'!B:B,'All Competencies'!A:A=C1)"),"Course IDs")</f>
        <v>Course IDs</v>
      </c>
      <c r="D4" s="132" t="str">
        <f ca="1">IFERROR(__xludf.DUMMYFUNCTION("FILTER('All Competencies'!C:C,'All Competencies'!A:A=C1)"),"Level")</f>
        <v>Level</v>
      </c>
      <c r="E4" s="132" t="str">
        <f ca="1">IFERROR(__xludf.DUMMYFUNCTION("FILTER('All Competencies'!D:D,'All Competencies'!A:A=C1)"),"Courses")</f>
        <v>Courses</v>
      </c>
      <c r="F4" s="132" t="str">
        <f ca="1">IFERROR(__xludf.DUMMYFUNCTION("FILTER('All Competencies'!E:E,'All Competencies'!A:A=C1)"),"Learning Paths")</f>
        <v>Learning Paths</v>
      </c>
      <c r="G4" s="133"/>
      <c r="H4" s="131"/>
      <c r="I4" s="130"/>
      <c r="J4" s="132" t="str">
        <f ca="1">IFERROR(__xludf.DUMMYFUNCTION("FILTER('All Competencies'!B:B,'All Competencies'!A:A=J1)"),"Course IDs")</f>
        <v>Course IDs</v>
      </c>
      <c r="K4" s="132" t="str">
        <f ca="1">IFERROR(__xludf.DUMMYFUNCTION("FILTER('All Competencies'!C:C,'All Competencies'!A:A=J1)"),"Level")</f>
        <v>Level</v>
      </c>
      <c r="L4" s="132" t="str">
        <f ca="1">IFERROR(__xludf.DUMMYFUNCTION("FILTER('All Competencies'!D:D,'All Competencies'!A:A=J1)"),"Courses")</f>
        <v>Courses</v>
      </c>
      <c r="M4" s="132" t="str">
        <f ca="1">IFERROR(__xludf.DUMMYFUNCTION("FILTER('All Competencies'!E:E,'All Competencies'!A:A=J1)"),"Learning Paths")</f>
        <v>Learning Paths</v>
      </c>
      <c r="N4" s="133"/>
      <c r="O4" s="131"/>
      <c r="P4" s="130"/>
      <c r="Q4" s="132" t="str">
        <f ca="1">IFERROR(__xludf.DUMMYFUNCTION("FILTER('All Competencies'!B:B,'All Competencies'!A:A=Q1)"),"Course IDs")</f>
        <v>Course IDs</v>
      </c>
      <c r="R4" s="132" t="str">
        <f ca="1">IFERROR(__xludf.DUMMYFUNCTION("FILTER('All Competencies'!C:C,'All Competencies'!A:A=Q1)"),"Level")</f>
        <v>Level</v>
      </c>
      <c r="S4" s="132" t="str">
        <f ca="1">IFERROR(__xludf.DUMMYFUNCTION("FILTER('All Competencies'!D:D,'All Competencies'!A:A=Q1)"),"Courses")</f>
        <v>Courses</v>
      </c>
      <c r="T4" s="132" t="str">
        <f ca="1">IFERROR(__xludf.DUMMYFUNCTION("FILTER('All Competencies'!E:E,'All Competencies'!A:A=Q1)"),"Learning Paths")</f>
        <v>Learning Paths</v>
      </c>
      <c r="U4" s="133"/>
      <c r="V4" s="130"/>
    </row>
    <row r="5" spans="1:22" ht="33.75" customHeight="1" x14ac:dyDescent="0.15">
      <c r="A5" s="134"/>
      <c r="B5" s="134"/>
      <c r="C5" s="135">
        <f ca="1">IFERROR(__xludf.DUMMYFUNCTION("""COMPUTED_VALUE"""),616665)</f>
        <v>616665</v>
      </c>
      <c r="D5" s="135" t="str">
        <f ca="1">IFERROR(__xludf.DUMMYFUNCTION("""COMPUTED_VALUE"""),"Advanced")</f>
        <v>Advanced</v>
      </c>
      <c r="E5" s="136" t="str">
        <f ca="1">IFERROR(__xludf.DUMMYFUNCTION("""COMPUTED_VALUE"""),"Organization Design")</f>
        <v>Organization Design</v>
      </c>
      <c r="F5" s="137" t="str">
        <f ca="1">IFERROR(__xludf.DUMMYFUNCTION("""COMPUTED_VALUE"""),"Improve Your Organizational Skills")</f>
        <v>Improve Your Organizational Skills</v>
      </c>
      <c r="G5" s="134"/>
      <c r="H5" s="134"/>
      <c r="I5" s="134"/>
      <c r="J5" s="135">
        <f ca="1">IFERROR(__xludf.DUMMYFUNCTION("""COMPUTED_VALUE"""),689761)</f>
        <v>689761</v>
      </c>
      <c r="K5" s="135" t="str">
        <f ca="1">IFERROR(__xludf.DUMMYFUNCTION("""COMPUTED_VALUE"""),"Advanced")</f>
        <v>Advanced</v>
      </c>
      <c r="L5" s="136" t="str">
        <f ca="1">IFERROR(__xludf.DUMMYFUNCTION("""COMPUTED_VALUE"""),"Creating a Culture of Change")</f>
        <v>Creating a Culture of Change</v>
      </c>
      <c r="M5" s="137" t="str">
        <f ca="1">IFERROR(__xludf.DUMMYFUNCTION("""COMPUTED_VALUE"""),"Managing Change")</f>
        <v>Managing Change</v>
      </c>
      <c r="N5" s="134"/>
      <c r="O5" s="134"/>
      <c r="P5" s="134"/>
      <c r="Q5" s="135">
        <f ca="1">IFERROR(__xludf.DUMMYFUNCTION("""COMPUTED_VALUE"""),574670)</f>
        <v>574670</v>
      </c>
      <c r="R5" s="135" t="str">
        <f ca="1">IFERROR(__xludf.DUMMYFUNCTION("""COMPUTED_VALUE"""),"Advanced")</f>
        <v>Advanced</v>
      </c>
      <c r="S5" s="136" t="str">
        <f ca="1">IFERROR(__xludf.DUMMYFUNCTION("""COMPUTED_VALUE"""),"Creating a High Performance Culture")</f>
        <v>Creating a High Performance Culture</v>
      </c>
      <c r="T5" s="137" t="str">
        <f ca="1">IFERROR(__xludf.DUMMYFUNCTION("""COMPUTED_VALUE"""),"Improve Your Coaching Skills as a Manager")</f>
        <v>Improve Your Coaching Skills as a Manager</v>
      </c>
      <c r="U5" s="134"/>
      <c r="V5" s="134"/>
    </row>
    <row r="6" spans="1:22" ht="30" x14ac:dyDescent="0.15">
      <c r="A6" s="134"/>
      <c r="B6" s="134"/>
      <c r="C6" s="138">
        <f ca="1">IFERROR(__xludf.DUMMYFUNCTION("""COMPUTED_VALUE"""),2804658)</f>
        <v>2804658</v>
      </c>
      <c r="D6" s="138" t="str">
        <f ca="1">IFERROR(__xludf.DUMMYFUNCTION("""COMPUTED_VALUE"""),"Beginner")</f>
        <v>Beginner</v>
      </c>
      <c r="E6" s="139" t="str">
        <f ca="1">IFERROR(__xludf.DUMMYFUNCTION("""COMPUTED_VALUE"""),"Be More Productive: Take Small Steps, Have Big Goals")</f>
        <v>Be More Productive: Take Small Steps, Have Big Goals</v>
      </c>
      <c r="F6" s="140" t="str">
        <f ca="1">IFERROR(__xludf.DUMMYFUNCTION("""COMPUTED_VALUE"""),"Become a High Performer")</f>
        <v>Become a High Performer</v>
      </c>
      <c r="G6" s="134"/>
      <c r="H6" s="134"/>
      <c r="I6" s="134"/>
      <c r="J6" s="138">
        <f ca="1">IFERROR(__xludf.DUMMYFUNCTION("""COMPUTED_VALUE"""),2874005)</f>
        <v>2874005</v>
      </c>
      <c r="K6" s="138" t="str">
        <f ca="1">IFERROR(__xludf.DUMMYFUNCTION("""COMPUTED_VALUE"""),"Beginner")</f>
        <v>Beginner</v>
      </c>
      <c r="L6" s="139" t="str">
        <f ca="1">IFERROR(__xludf.DUMMYFUNCTION("""COMPUTED_VALUE"""),"Insights on Working from Home’s Largest-Ever Experiment")</f>
        <v>Insights on Working from Home’s Largest-Ever Experiment</v>
      </c>
      <c r="M6" s="140" t="str">
        <f ca="1">IFERROR(__xludf.DUMMYFUNCTION("""COMPUTED_VALUE"""),"Master In-Demand Professional Soft Skills")</f>
        <v>Master In-Demand Professional Soft Skills</v>
      </c>
      <c r="N6" s="134"/>
      <c r="O6" s="134"/>
      <c r="P6" s="134"/>
      <c r="Q6" s="138">
        <f ca="1">IFERROR(__xludf.DUMMYFUNCTION("""COMPUTED_VALUE"""),2974167)</f>
        <v>2974167</v>
      </c>
      <c r="R6" s="138" t="str">
        <f ca="1">IFERROR(__xludf.DUMMYFUNCTION("""COMPUTED_VALUE"""),"Beginner")</f>
        <v>Beginner</v>
      </c>
      <c r="S6" s="139" t="str">
        <f ca="1">IFERROR(__xludf.DUMMYFUNCTION("""COMPUTED_VALUE"""),"Work on Purpose")</f>
        <v>Work on Purpose</v>
      </c>
      <c r="T6" s="140" t="str">
        <f ca="1">IFERROR(__xludf.DUMMYFUNCTION("""COMPUTED_VALUE"""),"Improve Your Teamwork Skills")</f>
        <v>Improve Your Teamwork Skills</v>
      </c>
      <c r="U6" s="134"/>
      <c r="V6" s="134"/>
    </row>
    <row r="7" spans="1:22" ht="30" x14ac:dyDescent="0.15">
      <c r="A7" s="134"/>
      <c r="B7" s="134"/>
      <c r="C7" s="138">
        <f ca="1">IFERROR(__xludf.DUMMYFUNCTION("""COMPUTED_VALUE"""),170777)</f>
        <v>170777</v>
      </c>
      <c r="D7" s="138" t="str">
        <f ca="1">IFERROR(__xludf.DUMMYFUNCTION("""COMPUTED_VALUE"""),"Beginner")</f>
        <v>Beginner</v>
      </c>
      <c r="E7" s="139" t="str">
        <f ca="1">IFERROR(__xludf.DUMMYFUNCTION("""COMPUTED_VALUE"""),"Building Resilience")</f>
        <v>Building Resilience</v>
      </c>
      <c r="F7" s="140" t="str">
        <f ca="1">IFERROR(__xludf.DUMMYFUNCTION("""COMPUTED_VALUE"""),"Remote Working: Setting Yourself and Your Teams Up for Success")</f>
        <v>Remote Working: Setting Yourself and Your Teams Up for Success</v>
      </c>
      <c r="G7" s="134"/>
      <c r="H7" s="134"/>
      <c r="I7" s="134"/>
      <c r="J7" s="138">
        <f ca="1">IFERROR(__xludf.DUMMYFUNCTION("""COMPUTED_VALUE"""),2876024)</f>
        <v>2876024</v>
      </c>
      <c r="K7" s="138" t="str">
        <f ca="1">IFERROR(__xludf.DUMMYFUNCTION("""COMPUTED_VALUE"""),"Beginner")</f>
        <v>Beginner</v>
      </c>
      <c r="L7" s="139" t="str">
        <f ca="1">IFERROR(__xludf.DUMMYFUNCTION("""COMPUTED_VALUE"""),"How to Slash Anxiety and Keep Positivity Flowing")</f>
        <v>How to Slash Anxiety and Keep Positivity Flowing</v>
      </c>
      <c r="M7" s="140" t="str">
        <f ca="1">IFERROR(__xludf.DUMMYFUNCTION("""COMPUTED_VALUE"""),"Manage Change and Develop Your Adaptability Skills")</f>
        <v>Manage Change and Develop Your Adaptability Skills</v>
      </c>
      <c r="N7" s="134"/>
      <c r="O7" s="134"/>
      <c r="P7" s="134"/>
      <c r="Q7" s="138">
        <f ca="1">IFERROR(__xludf.DUMMYFUNCTION("""COMPUTED_VALUE"""),647657)</f>
        <v>647657</v>
      </c>
      <c r="R7" s="138" t="str">
        <f ca="1">IFERROR(__xludf.DUMMYFUNCTION("""COMPUTED_VALUE"""),"Beginner")</f>
        <v>Beginner</v>
      </c>
      <c r="S7" s="139" t="str">
        <f ca="1">IFERROR(__xludf.DUMMYFUNCTION("""COMPUTED_VALUE"""),"Boosting Your Team's Productivity")</f>
        <v>Boosting Your Team's Productivity</v>
      </c>
      <c r="T7" s="140" t="str">
        <f ca="1">IFERROR(__xludf.DUMMYFUNCTION("""COMPUTED_VALUE"""),"Managing Performance")</f>
        <v>Managing Performance</v>
      </c>
      <c r="U7" s="134"/>
      <c r="V7" s="134"/>
    </row>
    <row r="8" spans="1:22" ht="30" x14ac:dyDescent="0.15">
      <c r="A8" s="134"/>
      <c r="B8" s="134"/>
      <c r="C8" s="138">
        <f ca="1">IFERROR(__xludf.DUMMYFUNCTION("""COMPUTED_VALUE"""),777381)</f>
        <v>777381</v>
      </c>
      <c r="D8" s="138" t="str">
        <f ca="1">IFERROR(__xludf.DUMMYFUNCTION("""COMPUTED_VALUE"""),"Beginner")</f>
        <v>Beginner</v>
      </c>
      <c r="E8" s="139" t="str">
        <f ca="1">IFERROR(__xludf.DUMMYFUNCTION("""COMPUTED_VALUE"""),"Delivering Results Effectively")</f>
        <v>Delivering Results Effectively</v>
      </c>
      <c r="F8" s="140" t="str">
        <f ca="1">IFERROR(__xludf.DUMMYFUNCTION("""COMPUTED_VALUE"""),"Building Accountability and Becoming Results Oriented ")</f>
        <v xml:space="preserve">Building Accountability and Becoming Results Oriented </v>
      </c>
      <c r="G8" s="134"/>
      <c r="H8" s="134"/>
      <c r="I8" s="134"/>
      <c r="J8" s="138">
        <f ca="1">IFERROR(__xludf.DUMMYFUNCTION("""COMPUTED_VALUE"""),2282149)</f>
        <v>2282149</v>
      </c>
      <c r="K8" s="138" t="str">
        <f ca="1">IFERROR(__xludf.DUMMYFUNCTION("""COMPUTED_VALUE"""),"Beginner")</f>
        <v>Beginner</v>
      </c>
      <c r="L8" s="139" t="str">
        <f ca="1">IFERROR(__xludf.DUMMYFUNCTION("""COMPUTED_VALUE"""),"Negotiating Work Flexibility")</f>
        <v>Negotiating Work Flexibility</v>
      </c>
      <c r="M8" s="141"/>
      <c r="N8" s="134"/>
      <c r="O8" s="134"/>
      <c r="P8" s="134"/>
      <c r="Q8" s="138">
        <f ca="1">IFERROR(__xludf.DUMMYFUNCTION("""COMPUTED_VALUE"""),427474)</f>
        <v>427474</v>
      </c>
      <c r="R8" s="138" t="str">
        <f ca="1">IFERROR(__xludf.DUMMYFUNCTION("""COMPUTED_VALUE"""),"Beginner")</f>
        <v>Beginner</v>
      </c>
      <c r="S8" s="139" t="str">
        <f ca="1">IFERROR(__xludf.DUMMYFUNCTION("""COMPUTED_VALUE"""),"Building Your Team")</f>
        <v>Building Your Team</v>
      </c>
      <c r="T8" s="140" t="str">
        <f ca="1">IFERROR(__xludf.DUMMYFUNCTION("""COMPUTED_VALUE"""),"Build and Manage Effective Teams ")</f>
        <v xml:space="preserve">Build and Manage Effective Teams </v>
      </c>
      <c r="U8" s="134"/>
      <c r="V8" s="134"/>
    </row>
    <row r="9" spans="1:22" ht="33.75" customHeight="1" x14ac:dyDescent="0.15">
      <c r="A9" s="134"/>
      <c r="B9" s="134"/>
      <c r="C9" s="138">
        <f ca="1">IFERROR(__xludf.DUMMYFUNCTION("""COMPUTED_VALUE"""),661751)</f>
        <v>661751</v>
      </c>
      <c r="D9" s="138" t="str">
        <f ca="1">IFERROR(__xludf.DUMMYFUNCTION("""COMPUTED_VALUE"""),"Beginner")</f>
        <v>Beginner</v>
      </c>
      <c r="E9" s="139" t="str">
        <f ca="1">IFERROR(__xludf.DUMMYFUNCTION("""COMPUTED_VALUE"""),"Developing a Learning Mindset")</f>
        <v>Developing a Learning Mindset</v>
      </c>
      <c r="F9" s="141"/>
      <c r="G9" s="134"/>
      <c r="H9" s="134"/>
      <c r="I9" s="134"/>
      <c r="J9" s="138">
        <f ca="1">IFERROR(__xludf.DUMMYFUNCTION("""COMPUTED_VALUE"""),153123)</f>
        <v>153123</v>
      </c>
      <c r="K9" s="138" t="str">
        <f ca="1">IFERROR(__xludf.DUMMYFUNCTION("""COMPUTED_VALUE"""),"Beginner")</f>
        <v>Beginner</v>
      </c>
      <c r="L9" s="139" t="str">
        <f ca="1">IFERROR(__xludf.DUMMYFUNCTION("""COMPUTED_VALUE"""),"Business Innovation Foundations")</f>
        <v>Business Innovation Foundations</v>
      </c>
      <c r="M9" s="141"/>
      <c r="N9" s="134"/>
      <c r="O9" s="134"/>
      <c r="P9" s="134"/>
      <c r="Q9" s="138">
        <f ca="1">IFERROR(__xludf.DUMMYFUNCTION("""COMPUTED_VALUE"""),633843)</f>
        <v>633843</v>
      </c>
      <c r="R9" s="138" t="str">
        <f ca="1">IFERROR(__xludf.DUMMYFUNCTION("""COMPUTED_VALUE"""),"Beginner")</f>
        <v>Beginner</v>
      </c>
      <c r="S9" s="139" t="str">
        <f ca="1">IFERROR(__xludf.DUMMYFUNCTION("""COMPUTED_VALUE"""),"Communication within Teams")</f>
        <v>Communication within Teams</v>
      </c>
      <c r="T9" s="140" t="str">
        <f ca="1">IFERROR(__xludf.DUMMYFUNCTION("""COMPUTED_VALUE"""),"Fostering Collaboration")</f>
        <v>Fostering Collaboration</v>
      </c>
      <c r="U9" s="134"/>
      <c r="V9" s="134"/>
    </row>
    <row r="10" spans="1:22" ht="33.75" customHeight="1" x14ac:dyDescent="0.15">
      <c r="A10" s="134"/>
      <c r="B10" s="134"/>
      <c r="C10" s="138">
        <f ca="1">IFERROR(__xludf.DUMMYFUNCTION("""COMPUTED_VALUE"""),185320)</f>
        <v>185320</v>
      </c>
      <c r="D10" s="138" t="str">
        <f ca="1">IFERROR(__xludf.DUMMYFUNCTION("""COMPUTED_VALUE"""),"Beginner")</f>
        <v>Beginner</v>
      </c>
      <c r="E10" s="139" t="str">
        <f ca="1">IFERROR(__xludf.DUMMYFUNCTION("""COMPUTED_VALUE"""),"Developing Resourcefulness")</f>
        <v>Developing Resourcefulness</v>
      </c>
      <c r="F10" s="142"/>
      <c r="G10" s="134"/>
      <c r="H10" s="134"/>
      <c r="I10" s="134"/>
      <c r="J10" s="138">
        <f ca="1">IFERROR(__xludf.DUMMYFUNCTION("""COMPUTED_VALUE"""),170777)</f>
        <v>170777</v>
      </c>
      <c r="K10" s="138" t="str">
        <f ca="1">IFERROR(__xludf.DUMMYFUNCTION("""COMPUTED_VALUE"""),"Beginner")</f>
        <v>Beginner</v>
      </c>
      <c r="L10" s="139" t="str">
        <f ca="1">IFERROR(__xludf.DUMMYFUNCTION("""COMPUTED_VALUE"""),"Building Resilience")</f>
        <v>Building Resilience</v>
      </c>
      <c r="M10" s="142"/>
      <c r="N10" s="134"/>
      <c r="O10" s="134"/>
      <c r="P10" s="134"/>
      <c r="Q10" s="138">
        <f ca="1">IFERROR(__xludf.DUMMYFUNCTION("""COMPUTED_VALUE"""),784280)</f>
        <v>784280</v>
      </c>
      <c r="R10" s="138" t="str">
        <f ca="1">IFERROR(__xludf.DUMMYFUNCTION("""COMPUTED_VALUE"""),"Beginner")</f>
        <v>Beginner</v>
      </c>
      <c r="S10" s="139" t="str">
        <f ca="1">IFERROR(__xludf.DUMMYFUNCTION("""COMPUTED_VALUE"""),"Leading Inclusive Teams")</f>
        <v>Leading Inclusive Teams</v>
      </c>
      <c r="T10" s="142"/>
      <c r="U10" s="134"/>
      <c r="V10" s="134"/>
    </row>
    <row r="11" spans="1:22" ht="33.75" customHeight="1" x14ac:dyDescent="0.15">
      <c r="A11" s="134"/>
      <c r="B11" s="134"/>
      <c r="C11" s="138">
        <f ca="1">IFERROR(__xludf.DUMMYFUNCTION("""COMPUTED_VALUE"""),427444)</f>
        <v>427444</v>
      </c>
      <c r="D11" s="138" t="str">
        <f ca="1">IFERROR(__xludf.DUMMYFUNCTION("""COMPUTED_VALUE"""),"Beginner")</f>
        <v>Beginner</v>
      </c>
      <c r="E11" s="139" t="str">
        <f ca="1">IFERROR(__xludf.DUMMYFUNCTION("""COMPUTED_VALUE"""),"Efficient Time Management")</f>
        <v>Efficient Time Management</v>
      </c>
      <c r="F11" s="141"/>
      <c r="G11" s="134"/>
      <c r="H11" s="134"/>
      <c r="I11" s="134"/>
      <c r="J11" s="138">
        <f ca="1">IFERROR(__xludf.DUMMYFUNCTION("""COMPUTED_VALUE"""),363225)</f>
        <v>363225</v>
      </c>
      <c r="K11" s="138" t="str">
        <f ca="1">IFERROR(__xludf.DUMMYFUNCTION("""COMPUTED_VALUE"""),"Beginner")</f>
        <v>Beginner</v>
      </c>
      <c r="L11" s="139" t="str">
        <f ca="1">IFERROR(__xludf.DUMMYFUNCTION("""COMPUTED_VALUE"""),"Learning from Failure")</f>
        <v>Learning from Failure</v>
      </c>
      <c r="M11" s="141"/>
      <c r="N11" s="134"/>
      <c r="O11" s="134"/>
      <c r="P11" s="134"/>
      <c r="Q11" s="138">
        <f ca="1">IFERROR(__xludf.DUMMYFUNCTION("""COMPUTED_VALUE"""),456353)</f>
        <v>456353</v>
      </c>
      <c r="R11" s="138" t="str">
        <f ca="1">IFERROR(__xludf.DUMMYFUNCTION("""COMPUTED_VALUE"""),"Beginner")</f>
        <v>Beginner</v>
      </c>
      <c r="S11" s="139" t="str">
        <f ca="1">IFERROR(__xludf.DUMMYFUNCTION("""COMPUTED_VALUE"""),"Setting Team and Employee Goals Using SMART Methodology")</f>
        <v>Setting Team and Employee Goals Using SMART Methodology</v>
      </c>
      <c r="T11" s="141"/>
      <c r="U11" s="134"/>
      <c r="V11" s="134"/>
    </row>
    <row r="12" spans="1:22" ht="33.75" customHeight="1" x14ac:dyDescent="0.15">
      <c r="A12" s="134"/>
      <c r="B12" s="134"/>
      <c r="C12" s="138">
        <f ca="1">IFERROR(__xludf.DUMMYFUNCTION("""COMPUTED_VALUE"""),718618)</f>
        <v>718618</v>
      </c>
      <c r="D12" s="138" t="str">
        <f ca="1">IFERROR(__xludf.DUMMYFUNCTION("""COMPUTED_VALUE"""),"Beginner")</f>
        <v>Beginner</v>
      </c>
      <c r="E12" s="139" t="str">
        <f ca="1">IFERROR(__xludf.DUMMYFUNCTION("""COMPUTED_VALUE"""),"Enhancing Resilience")</f>
        <v>Enhancing Resilience</v>
      </c>
      <c r="F12" s="141"/>
      <c r="G12" s="134"/>
      <c r="H12" s="134"/>
      <c r="I12" s="134"/>
      <c r="J12" s="138">
        <f ca="1">IFERROR(__xludf.DUMMYFUNCTION("""COMPUTED_VALUE"""),424116)</f>
        <v>424116</v>
      </c>
      <c r="K12" s="138" t="str">
        <f ca="1">IFERROR(__xludf.DUMMYFUNCTION("""COMPUTED_VALUE"""),"Beginner")</f>
        <v>Beginner</v>
      </c>
      <c r="L12" s="139" t="str">
        <f ca="1">IFERROR(__xludf.DUMMYFUNCTION("""COMPUTED_VALUE"""),"Critical Thinking")</f>
        <v>Critical Thinking</v>
      </c>
      <c r="M12" s="141"/>
      <c r="N12" s="134"/>
      <c r="O12" s="134"/>
      <c r="P12" s="134"/>
      <c r="Q12" s="138">
        <f ca="1">IFERROR(__xludf.DUMMYFUNCTION("""COMPUTED_VALUE"""),758616)</f>
        <v>758616</v>
      </c>
      <c r="R12" s="138" t="str">
        <f ca="1">IFERROR(__xludf.DUMMYFUNCTION("""COMPUTED_VALUE"""),"Beginner")</f>
        <v>Beginner</v>
      </c>
      <c r="S12" s="139" t="str">
        <f ca="1">IFERROR(__xludf.DUMMYFUNCTION("""COMPUTED_VALUE"""),"Shane Snow on Dream Teams")</f>
        <v>Shane Snow on Dream Teams</v>
      </c>
      <c r="T12" s="141"/>
      <c r="U12" s="134"/>
      <c r="V12" s="134"/>
    </row>
    <row r="13" spans="1:22" ht="33.75" customHeight="1" x14ac:dyDescent="0.15">
      <c r="A13" s="134"/>
      <c r="B13" s="134"/>
      <c r="C13" s="138">
        <f ca="1">IFERROR(__xludf.DUMMYFUNCTION("""COMPUTED_VALUE"""),88536)</f>
        <v>88536</v>
      </c>
      <c r="D13" s="138" t="str">
        <f ca="1">IFERROR(__xludf.DUMMYFUNCTION("""COMPUTED_VALUE"""),"Beginner")</f>
        <v>Beginner</v>
      </c>
      <c r="E13" s="139" t="str">
        <f ca="1">IFERROR(__xludf.DUMMYFUNCTION("""COMPUTED_VALUE"""),"Enhancing Your Productivity")</f>
        <v>Enhancing Your Productivity</v>
      </c>
      <c r="F13" s="142"/>
      <c r="G13" s="134"/>
      <c r="H13" s="134"/>
      <c r="I13" s="134"/>
      <c r="J13" s="138">
        <f ca="1">IFERROR(__xludf.DUMMYFUNCTION("""COMPUTED_VALUE"""),495346)</f>
        <v>495346</v>
      </c>
      <c r="K13" s="138" t="str">
        <f ca="1">IFERROR(__xludf.DUMMYFUNCTION("""COMPUTED_VALUE"""),"Beginner")</f>
        <v>Beginner</v>
      </c>
      <c r="L13" s="139" t="str">
        <f ca="1">IFERROR(__xludf.DUMMYFUNCTION("""COMPUTED_VALUE"""),"Gary Hamel on Busting Bureaucracy")</f>
        <v>Gary Hamel on Busting Bureaucracy</v>
      </c>
      <c r="M13" s="142"/>
      <c r="N13" s="134"/>
      <c r="O13" s="134"/>
      <c r="P13" s="134"/>
      <c r="Q13" s="138">
        <f ca="1">IFERROR(__xludf.DUMMYFUNCTION("""COMPUTED_VALUE"""),2243047)</f>
        <v>2243047</v>
      </c>
      <c r="R13" s="138" t="str">
        <f ca="1">IFERROR(__xludf.DUMMYFUNCTION("""COMPUTED_VALUE"""),"Beginner")</f>
        <v>Beginner</v>
      </c>
      <c r="S13" s="139" t="str">
        <f ca="1">IFERROR(__xludf.DUMMYFUNCTION("""COMPUTED_VALUE"""),"Top of Mind: Use Content to Unleash Your Influence (getAbstract Summary)")</f>
        <v>Top of Mind: Use Content to Unleash Your Influence (getAbstract Summary)</v>
      </c>
      <c r="T13" s="142"/>
      <c r="U13" s="134"/>
      <c r="V13" s="134"/>
    </row>
    <row r="14" spans="1:22" ht="33.75" customHeight="1" x14ac:dyDescent="0.15">
      <c r="A14" s="134"/>
      <c r="B14" s="134"/>
      <c r="C14" s="138">
        <f ca="1">IFERROR(__xludf.DUMMYFUNCTION("""COMPUTED_VALUE"""),458640)</f>
        <v>458640</v>
      </c>
      <c r="D14" s="138" t="str">
        <f ca="1">IFERROR(__xludf.DUMMYFUNCTION("""COMPUTED_VALUE"""),"Beginner")</f>
        <v>Beginner</v>
      </c>
      <c r="E14" s="139" t="str">
        <f ca="1">IFERROR(__xludf.DUMMYFUNCTION("""COMPUTED_VALUE"""),"Fred Kofman on Accountability")</f>
        <v>Fred Kofman on Accountability</v>
      </c>
      <c r="F14" s="141"/>
      <c r="G14" s="134"/>
      <c r="H14" s="134"/>
      <c r="I14" s="134"/>
      <c r="J14" s="138">
        <f ca="1">IFERROR(__xludf.DUMMYFUNCTION("""COMPUTED_VALUE"""),599597)</f>
        <v>599597</v>
      </c>
      <c r="K14" s="138" t="str">
        <f ca="1">IFERROR(__xludf.DUMMYFUNCTION("""COMPUTED_VALUE"""),"Beginner")</f>
        <v>Beginner</v>
      </c>
      <c r="L14" s="139" t="str">
        <f ca="1">IFERROR(__xludf.DUMMYFUNCTION("""COMPUTED_VALUE"""),"Performing under Pressure")</f>
        <v>Performing under Pressure</v>
      </c>
      <c r="M14" s="141"/>
      <c r="N14" s="134"/>
      <c r="O14" s="134"/>
      <c r="P14" s="134"/>
      <c r="Q14" s="138">
        <f ca="1">IFERROR(__xludf.DUMMYFUNCTION("""COMPUTED_VALUE"""),2813307)</f>
        <v>2813307</v>
      </c>
      <c r="R14" s="138" t="str">
        <f ca="1">IFERROR(__xludf.DUMMYFUNCTION("""COMPUTED_VALUE"""),"Beginner")</f>
        <v>Beginner</v>
      </c>
      <c r="S14" s="139" t="str">
        <f ca="1">IFERROR(__xludf.DUMMYFUNCTION("""COMPUTED_VALUE"""),"Motivating Your Team to Learn")</f>
        <v>Motivating Your Team to Learn</v>
      </c>
      <c r="T14" s="141"/>
      <c r="U14" s="134"/>
      <c r="V14" s="134"/>
    </row>
    <row r="15" spans="1:22" ht="33.75" customHeight="1" x14ac:dyDescent="0.15">
      <c r="A15" s="134"/>
      <c r="B15" s="134"/>
      <c r="C15" s="138">
        <f ca="1">IFERROR(__xludf.DUMMYFUNCTION("""COMPUTED_VALUE"""),458641)</f>
        <v>458641</v>
      </c>
      <c r="D15" s="138" t="str">
        <f ca="1">IFERROR(__xludf.DUMMYFUNCTION("""COMPUTED_VALUE"""),"Beginner")</f>
        <v>Beginner</v>
      </c>
      <c r="E15" s="139" t="str">
        <f ca="1">IFERROR(__xludf.DUMMYFUNCTION("""COMPUTED_VALUE"""),"Fred Kofman on Making Commitments")</f>
        <v>Fred Kofman on Making Commitments</v>
      </c>
      <c r="F15" s="141"/>
      <c r="G15" s="134"/>
      <c r="H15" s="134"/>
      <c r="I15" s="134"/>
      <c r="J15" s="138">
        <f ca="1">IFERROR(__xludf.DUMMYFUNCTION("""COMPUTED_VALUE"""),661749)</f>
        <v>661749</v>
      </c>
      <c r="K15" s="138" t="str">
        <f ca="1">IFERROR(__xludf.DUMMYFUNCTION("""COMPUTED_VALUE"""),"Beginner")</f>
        <v>Beginner</v>
      </c>
      <c r="L15" s="139" t="str">
        <f ca="1">IFERROR(__xludf.DUMMYFUNCTION("""COMPUTED_VALUE"""),"Learning Agility")</f>
        <v>Learning Agility</v>
      </c>
      <c r="M15" s="141"/>
      <c r="N15" s="134"/>
      <c r="O15" s="134"/>
      <c r="P15" s="134"/>
      <c r="Q15" s="138">
        <f ca="1">IFERROR(__xludf.DUMMYFUNCTION("""COMPUTED_VALUE"""),2823297)</f>
        <v>2823297</v>
      </c>
      <c r="R15" s="138" t="str">
        <f ca="1">IFERROR(__xludf.DUMMYFUNCTION("""COMPUTED_VALUE"""),"Beginner")</f>
        <v>Beginner</v>
      </c>
      <c r="S15" s="139" t="str">
        <f ca="1">IFERROR(__xludf.DUMMYFUNCTION("""COMPUTED_VALUE"""),"Culture of Kaizen")</f>
        <v>Culture of Kaizen</v>
      </c>
      <c r="T15" s="141"/>
      <c r="U15" s="134"/>
      <c r="V15" s="134"/>
    </row>
    <row r="16" spans="1:22" ht="33.75" customHeight="1" x14ac:dyDescent="0.15">
      <c r="A16" s="134"/>
      <c r="B16" s="134"/>
      <c r="C16" s="138">
        <f ca="1">IFERROR(__xludf.DUMMYFUNCTION("""COMPUTED_VALUE"""),2810933)</f>
        <v>2810933</v>
      </c>
      <c r="D16" s="138" t="str">
        <f ca="1">IFERROR(__xludf.DUMMYFUNCTION("""COMPUTED_VALUE"""),"Beginner")</f>
        <v>Beginner</v>
      </c>
      <c r="E16" s="139" t="str">
        <f ca="1">IFERROR(__xludf.DUMMYFUNCTION("""COMPUTED_VALUE"""),"Gaining Skills with LinkedIn Learning")</f>
        <v>Gaining Skills with LinkedIn Learning</v>
      </c>
      <c r="F16" s="141"/>
      <c r="G16" s="134"/>
      <c r="H16" s="134"/>
      <c r="I16" s="134"/>
      <c r="J16" s="138">
        <f ca="1">IFERROR(__xludf.DUMMYFUNCTION("""COMPUTED_VALUE"""),661751)</f>
        <v>661751</v>
      </c>
      <c r="K16" s="138" t="str">
        <f ca="1">IFERROR(__xludf.DUMMYFUNCTION("""COMPUTED_VALUE"""),"Beginner")</f>
        <v>Beginner</v>
      </c>
      <c r="L16" s="139" t="str">
        <f ca="1">IFERROR(__xludf.DUMMYFUNCTION("""COMPUTED_VALUE"""),"Developing a Learning Mindset")</f>
        <v>Developing a Learning Mindset</v>
      </c>
      <c r="M16" s="141"/>
      <c r="N16" s="134"/>
      <c r="O16" s="134"/>
      <c r="P16" s="134"/>
      <c r="Q16" s="138">
        <f ca="1">IFERROR(__xludf.DUMMYFUNCTION("""COMPUTED_VALUE"""),2825337)</f>
        <v>2825337</v>
      </c>
      <c r="R16" s="138" t="str">
        <f ca="1">IFERROR(__xludf.DUMMYFUNCTION("""COMPUTED_VALUE"""),"Beginner")</f>
        <v>Beginner</v>
      </c>
      <c r="S16" s="139" t="str">
        <f ca="1">IFERROR(__xludf.DUMMYFUNCTION("""COMPUTED_VALUE"""),"The Practices of High-Performing Employees")</f>
        <v>The Practices of High-Performing Employees</v>
      </c>
      <c r="T16" s="141"/>
      <c r="U16" s="134"/>
      <c r="V16" s="134"/>
    </row>
    <row r="17" spans="1:22" ht="33.75" customHeight="1" x14ac:dyDescent="0.15">
      <c r="A17" s="134"/>
      <c r="B17" s="134"/>
      <c r="C17" s="138">
        <f ca="1">IFERROR(__xludf.DUMMYFUNCTION("""COMPUTED_VALUE"""),170776)</f>
        <v>170776</v>
      </c>
      <c r="D17" s="138" t="str">
        <f ca="1">IFERROR(__xludf.DUMMYFUNCTION("""COMPUTED_VALUE"""),"Beginner")</f>
        <v>Beginner</v>
      </c>
      <c r="E17" s="139" t="str">
        <f ca="1">IFERROR(__xludf.DUMMYFUNCTION("""COMPUTED_VALUE"""),"Getting Things Done")</f>
        <v>Getting Things Done</v>
      </c>
      <c r="F17" s="141"/>
      <c r="G17" s="134"/>
      <c r="H17" s="134"/>
      <c r="I17" s="134"/>
      <c r="J17" s="138">
        <f ca="1">IFERROR(__xludf.DUMMYFUNCTION("""COMPUTED_VALUE"""),669533)</f>
        <v>669533</v>
      </c>
      <c r="K17" s="138" t="str">
        <f ca="1">IFERROR(__xludf.DUMMYFUNCTION("""COMPUTED_VALUE"""),"Beginner")</f>
        <v>Beginner</v>
      </c>
      <c r="L17" s="139" t="str">
        <f ca="1">IFERROR(__xludf.DUMMYFUNCTION("""COMPUTED_VALUE"""),"Sheryl Sandberg and Adam Grant on Option B: Building Resilience")</f>
        <v>Sheryl Sandberg and Adam Grant on Option B: Building Resilience</v>
      </c>
      <c r="M17" s="141"/>
      <c r="N17" s="134"/>
      <c r="O17" s="134"/>
      <c r="P17" s="134"/>
      <c r="Q17" s="138">
        <f ca="1">IFERROR(__xludf.DUMMYFUNCTION("""COMPUTED_VALUE"""),2825376)</f>
        <v>2825376</v>
      </c>
      <c r="R17" s="138" t="str">
        <f ca="1">IFERROR(__xludf.DUMMYFUNCTION("""COMPUTED_VALUE"""),"Beginner")</f>
        <v>Beginner</v>
      </c>
      <c r="S17" s="139" t="str">
        <f ca="1">IFERROR(__xludf.DUMMYFUNCTION("""COMPUTED_VALUE"""),"Dealing with the Seven Deadly Wastes")</f>
        <v>Dealing with the Seven Deadly Wastes</v>
      </c>
      <c r="T17" s="141"/>
      <c r="U17" s="134"/>
      <c r="V17" s="134"/>
    </row>
    <row r="18" spans="1:22" ht="33.75" customHeight="1" x14ac:dyDescent="0.15">
      <c r="A18" s="134"/>
      <c r="B18" s="134"/>
      <c r="C18" s="138">
        <f ca="1">IFERROR(__xludf.DUMMYFUNCTION("""COMPUTED_VALUE"""),625908)</f>
        <v>625908</v>
      </c>
      <c r="D18" s="138" t="str">
        <f ca="1">IFERROR(__xludf.DUMMYFUNCTION("""COMPUTED_VALUE"""),"Beginner")</f>
        <v>Beginner</v>
      </c>
      <c r="E18" s="139" t="str">
        <f ca="1">IFERROR(__xludf.DUMMYFUNCTION("""COMPUTED_VALUE"""),"Holding Yourself Accountable")</f>
        <v>Holding Yourself Accountable</v>
      </c>
      <c r="F18" s="141"/>
      <c r="G18" s="134"/>
      <c r="H18" s="134"/>
      <c r="I18" s="134"/>
      <c r="J18" s="138">
        <f ca="1">IFERROR(__xludf.DUMMYFUNCTION("""COMPUTED_VALUE"""),718618)</f>
        <v>718618</v>
      </c>
      <c r="K18" s="138" t="str">
        <f ca="1">IFERROR(__xludf.DUMMYFUNCTION("""COMPUTED_VALUE"""),"Beginner")</f>
        <v>Beginner</v>
      </c>
      <c r="L18" s="139" t="str">
        <f ca="1">IFERROR(__xludf.DUMMYFUNCTION("""COMPUTED_VALUE"""),"Enhancing Resilience")</f>
        <v>Enhancing Resilience</v>
      </c>
      <c r="M18" s="141"/>
      <c r="N18" s="134"/>
      <c r="O18" s="134"/>
      <c r="P18" s="134"/>
      <c r="Q18" s="138">
        <f ca="1">IFERROR(__xludf.DUMMYFUNCTION("""COMPUTED_VALUE"""),2822314)</f>
        <v>2822314</v>
      </c>
      <c r="R18" s="138" t="str">
        <f ca="1">IFERROR(__xludf.DUMMYFUNCTION("""COMPUTED_VALUE"""),"Beginner")</f>
        <v>Beginner</v>
      </c>
      <c r="S18" s="139" t="str">
        <f ca="1">IFERROR(__xludf.DUMMYFUNCTION("""COMPUTED_VALUE"""),"How to Give and Receive Useful Feedback Every Month")</f>
        <v>How to Give and Receive Useful Feedback Every Month</v>
      </c>
      <c r="T18" s="141"/>
      <c r="U18" s="134"/>
      <c r="V18" s="134"/>
    </row>
    <row r="19" spans="1:22" ht="33.75" customHeight="1" x14ac:dyDescent="0.15">
      <c r="A19" s="134"/>
      <c r="B19" s="134"/>
      <c r="C19" s="138">
        <f ca="1">IFERROR(__xludf.DUMMYFUNCTION("""COMPUTED_VALUE"""),533302)</f>
        <v>533302</v>
      </c>
      <c r="D19" s="138" t="str">
        <f ca="1">IFERROR(__xludf.DUMMYFUNCTION("""COMPUTED_VALUE"""),"Beginner")</f>
        <v>Beginner</v>
      </c>
      <c r="E19" s="139" t="str">
        <f ca="1">IFERROR(__xludf.DUMMYFUNCTION("""COMPUTED_VALUE"""),"Improving Your Focus")</f>
        <v>Improving Your Focus</v>
      </c>
      <c r="F19" s="141"/>
      <c r="G19" s="134"/>
      <c r="H19" s="134"/>
      <c r="I19" s="134"/>
      <c r="J19" s="138">
        <f ca="1">IFERROR(__xludf.DUMMYFUNCTION("""COMPUTED_VALUE"""),718628)</f>
        <v>718628</v>
      </c>
      <c r="K19" s="138" t="str">
        <f ca="1">IFERROR(__xludf.DUMMYFUNCTION("""COMPUTED_VALUE"""),"Beginner")</f>
        <v>Beginner</v>
      </c>
      <c r="L19" s="139" t="str">
        <f ca="1">IFERROR(__xludf.DUMMYFUNCTION("""COMPUTED_VALUE"""),"Cultivating a Growth Mindset")</f>
        <v>Cultivating a Growth Mindset</v>
      </c>
      <c r="M19" s="141"/>
      <c r="N19" s="134"/>
      <c r="O19" s="134"/>
      <c r="P19" s="134"/>
      <c r="Q19" s="138">
        <f ca="1">IFERROR(__xludf.DUMMYFUNCTION("""COMPUTED_VALUE"""),2823255)</f>
        <v>2823255</v>
      </c>
      <c r="R19" s="138" t="str">
        <f ca="1">IFERROR(__xludf.DUMMYFUNCTION("""COMPUTED_VALUE"""),"Beginner")</f>
        <v>Beginner</v>
      </c>
      <c r="S19" s="139" t="str">
        <f ca="1">IFERROR(__xludf.DUMMYFUNCTION("""COMPUTED_VALUE"""),"The Six Morning Habits of High Performers")</f>
        <v>The Six Morning Habits of High Performers</v>
      </c>
      <c r="T19" s="141"/>
      <c r="U19" s="134"/>
      <c r="V19" s="134"/>
    </row>
    <row r="20" spans="1:22" ht="33.75" customHeight="1" x14ac:dyDescent="0.15">
      <c r="A20" s="134"/>
      <c r="B20" s="134"/>
      <c r="C20" s="138">
        <f ca="1">IFERROR(__xludf.DUMMYFUNCTION("""COMPUTED_VALUE"""),661749)</f>
        <v>661749</v>
      </c>
      <c r="D20" s="138" t="str">
        <f ca="1">IFERROR(__xludf.DUMMYFUNCTION("""COMPUTED_VALUE"""),"Beginner")</f>
        <v>Beginner</v>
      </c>
      <c r="E20" s="139" t="str">
        <f ca="1">IFERROR(__xludf.DUMMYFUNCTION("""COMPUTED_VALUE"""),"Learning Agility")</f>
        <v>Learning Agility</v>
      </c>
      <c r="F20" s="141"/>
      <c r="G20" s="134"/>
      <c r="H20" s="134"/>
      <c r="I20" s="134"/>
      <c r="J20" s="138">
        <f ca="1">IFERROR(__xludf.DUMMYFUNCTION("""COMPUTED_VALUE"""),777381)</f>
        <v>777381</v>
      </c>
      <c r="K20" s="138" t="str">
        <f ca="1">IFERROR(__xludf.DUMMYFUNCTION("""COMPUTED_VALUE"""),"Beginner")</f>
        <v>Beginner</v>
      </c>
      <c r="L20" s="139" t="str">
        <f ca="1">IFERROR(__xludf.DUMMYFUNCTION("""COMPUTED_VALUE"""),"Delivering Results Effectively")</f>
        <v>Delivering Results Effectively</v>
      </c>
      <c r="M20" s="141"/>
      <c r="N20" s="134"/>
      <c r="O20" s="134"/>
      <c r="P20" s="134"/>
      <c r="Q20" s="138">
        <f ca="1">IFERROR(__xludf.DUMMYFUNCTION("""COMPUTED_VALUE"""),2823195)</f>
        <v>2823195</v>
      </c>
      <c r="R20" s="138" t="str">
        <f ca="1">IFERROR(__xludf.DUMMYFUNCTION("""COMPUTED_VALUE"""),"Beginner")</f>
        <v>Beginner</v>
      </c>
      <c r="S20" s="139" t="str">
        <f ca="1">IFERROR(__xludf.DUMMYFUNCTION("""COMPUTED_VALUE"""),"Teamwork Foundations")</f>
        <v>Teamwork Foundations</v>
      </c>
      <c r="T20" s="141"/>
      <c r="U20" s="134"/>
      <c r="V20" s="134"/>
    </row>
    <row r="21" spans="1:22" ht="33.75" customHeight="1" x14ac:dyDescent="0.15">
      <c r="A21" s="134"/>
      <c r="B21" s="134"/>
      <c r="C21" s="138">
        <f ca="1">IFERROR(__xludf.DUMMYFUNCTION("""COMPUTED_VALUE"""),114903)</f>
        <v>114903</v>
      </c>
      <c r="D21" s="138" t="str">
        <f ca="1">IFERROR(__xludf.DUMMYFUNCTION("""COMPUTED_VALUE"""),"Beginner")</f>
        <v>Beginner</v>
      </c>
      <c r="E21" s="139" t="str">
        <f ca="1">IFERROR(__xludf.DUMMYFUNCTION("""COMPUTED_VALUE"""),"Monday Productivity Pointers")</f>
        <v>Monday Productivity Pointers</v>
      </c>
      <c r="F21" s="141"/>
      <c r="G21" s="134"/>
      <c r="H21" s="134"/>
      <c r="I21" s="134"/>
      <c r="J21" s="138">
        <f ca="1">IFERROR(__xludf.DUMMYFUNCTION("""COMPUTED_VALUE"""),2807856)</f>
        <v>2807856</v>
      </c>
      <c r="K21" s="138" t="str">
        <f ca="1">IFERROR(__xludf.DUMMYFUNCTION("""COMPUTED_VALUE"""),"Beginner")</f>
        <v>Beginner</v>
      </c>
      <c r="L21" s="139" t="str">
        <f ca="1">IFERROR(__xludf.DUMMYFUNCTION("""COMPUTED_VALUE"""),"Unlock Your Team's Creativity")</f>
        <v>Unlock Your Team's Creativity</v>
      </c>
      <c r="M21" s="141"/>
      <c r="N21" s="134"/>
      <c r="O21" s="134"/>
      <c r="P21" s="134"/>
      <c r="Q21" s="138">
        <f ca="1">IFERROR(__xludf.DUMMYFUNCTION("""COMPUTED_VALUE"""),2825494)</f>
        <v>2825494</v>
      </c>
      <c r="R21" s="138" t="str">
        <f ca="1">IFERROR(__xludf.DUMMYFUNCTION("""COMPUTED_VALUE"""),"Beginner")</f>
        <v>Beginner</v>
      </c>
      <c r="S21" s="139" t="str">
        <f ca="1">IFERROR(__xludf.DUMMYFUNCTION("""COMPUTED_VALUE"""),"Creating a Culture of Learning")</f>
        <v>Creating a Culture of Learning</v>
      </c>
      <c r="T21" s="141"/>
      <c r="U21" s="134"/>
      <c r="V21" s="134"/>
    </row>
    <row r="22" spans="1:22" ht="33.75" customHeight="1" x14ac:dyDescent="0.15">
      <c r="A22" s="134"/>
      <c r="B22" s="134"/>
      <c r="C22" s="138">
        <f ca="1">IFERROR(__xludf.DUMMYFUNCTION("""COMPUTED_VALUE"""),734629)</f>
        <v>734629</v>
      </c>
      <c r="D22" s="138" t="str">
        <f ca="1">IFERROR(__xludf.DUMMYFUNCTION("""COMPUTED_VALUE"""),"Beginner")</f>
        <v>Beginner</v>
      </c>
      <c r="E22" s="139" t="str">
        <f ca="1">IFERROR(__xludf.DUMMYFUNCTION("""COMPUTED_VALUE"""),"Overcoming Procrastination")</f>
        <v>Overcoming Procrastination</v>
      </c>
      <c r="F22" s="141"/>
      <c r="G22" s="134"/>
      <c r="H22" s="134"/>
      <c r="I22" s="134"/>
      <c r="J22" s="138">
        <f ca="1">IFERROR(__xludf.DUMMYFUNCTION("""COMPUTED_VALUE"""),2810626)</f>
        <v>2810626</v>
      </c>
      <c r="K22" s="138" t="str">
        <f ca="1">IFERROR(__xludf.DUMMYFUNCTION("""COMPUTED_VALUE"""),"Beginner")</f>
        <v>Beginner</v>
      </c>
      <c r="L22" s="139" t="str">
        <f ca="1">IFERROR(__xludf.DUMMYFUNCTION("""COMPUTED_VALUE"""),"Managing Stress")</f>
        <v>Managing Stress</v>
      </c>
      <c r="M22" s="141"/>
      <c r="N22" s="134"/>
      <c r="O22" s="134"/>
      <c r="P22" s="134"/>
      <c r="Q22" s="138">
        <f ca="1">IFERROR(__xludf.DUMMYFUNCTION("""COMPUTED_VALUE"""),2846053)</f>
        <v>2846053</v>
      </c>
      <c r="R22" s="138" t="str">
        <f ca="1">IFERROR(__xludf.DUMMYFUNCTION("""COMPUTED_VALUE"""),"Beginner")</f>
        <v>Beginner</v>
      </c>
      <c r="S22" s="139" t="str">
        <f ca="1">IFERROR(__xludf.DUMMYFUNCTION("""COMPUTED_VALUE"""),"Leading Remote Projects and Virtual Teams")</f>
        <v>Leading Remote Projects and Virtual Teams</v>
      </c>
      <c r="T22" s="141"/>
      <c r="U22" s="134"/>
      <c r="V22" s="134"/>
    </row>
    <row r="23" spans="1:22" ht="33.75" customHeight="1" x14ac:dyDescent="0.15">
      <c r="A23" s="134"/>
      <c r="B23" s="134"/>
      <c r="C23" s="138">
        <f ca="1">IFERROR(__xludf.DUMMYFUNCTION("""COMPUTED_VALUE"""),599597)</f>
        <v>599597</v>
      </c>
      <c r="D23" s="138" t="str">
        <f ca="1">IFERROR(__xludf.DUMMYFUNCTION("""COMPUTED_VALUE"""),"Beginner")</f>
        <v>Beginner</v>
      </c>
      <c r="E23" s="139" t="str">
        <f ca="1">IFERROR(__xludf.DUMMYFUNCTION("""COMPUTED_VALUE"""),"Performing under Pressure")</f>
        <v>Performing under Pressure</v>
      </c>
      <c r="F23" s="141"/>
      <c r="G23" s="134"/>
      <c r="H23" s="134"/>
      <c r="I23" s="134"/>
      <c r="J23" s="138">
        <f ca="1">IFERROR(__xludf.DUMMYFUNCTION("""COMPUTED_VALUE"""),2811712)</f>
        <v>2811712</v>
      </c>
      <c r="K23" s="138" t="str">
        <f ca="1">IFERROR(__xludf.DUMMYFUNCTION("""COMPUTED_VALUE"""),"Beginner")</f>
        <v>Beginner</v>
      </c>
      <c r="L23" s="139" t="str">
        <f ca="1">IFERROR(__xludf.DUMMYFUNCTION("""COMPUTED_VALUE"""),"Aaron Dignan on Transformational Change")</f>
        <v>Aaron Dignan on Transformational Change</v>
      </c>
      <c r="M23" s="141"/>
      <c r="N23" s="134"/>
      <c r="O23" s="134"/>
      <c r="P23" s="134"/>
      <c r="Q23" s="138">
        <f ca="1">IFERROR(__xludf.DUMMYFUNCTION("""COMPUTED_VALUE"""),5034159)</f>
        <v>5034159</v>
      </c>
      <c r="R23" s="138" t="str">
        <f ca="1">IFERROR(__xludf.DUMMYFUNCTION("""COMPUTED_VALUE"""),"Beginner + Intermediate")</f>
        <v>Beginner + Intermediate</v>
      </c>
      <c r="S23" s="139" t="str">
        <f ca="1">IFERROR(__xludf.DUMMYFUNCTION("""COMPUTED_VALUE"""),"Hiring an Employee for Managers")</f>
        <v>Hiring an Employee for Managers</v>
      </c>
      <c r="T23" s="141"/>
      <c r="U23" s="134"/>
      <c r="V23" s="134"/>
    </row>
    <row r="24" spans="1:22" ht="33.75" customHeight="1" x14ac:dyDescent="0.15">
      <c r="A24" s="134"/>
      <c r="B24" s="134"/>
      <c r="C24" s="138">
        <f ca="1">IFERROR(__xludf.DUMMYFUNCTION("""COMPUTED_VALUE"""),5034165)</f>
        <v>5034165</v>
      </c>
      <c r="D24" s="138" t="str">
        <f ca="1">IFERROR(__xludf.DUMMYFUNCTION("""COMPUTED_VALUE"""),"Beginner")</f>
        <v>Beginner</v>
      </c>
      <c r="E24" s="139" t="str">
        <f ca="1">IFERROR(__xludf.DUMMYFUNCTION("""COMPUTED_VALUE"""),"Prioritizing Effectively as a Leader")</f>
        <v>Prioritizing Effectively as a Leader</v>
      </c>
      <c r="F24" s="141"/>
      <c r="G24" s="134"/>
      <c r="H24" s="134"/>
      <c r="I24" s="134"/>
      <c r="J24" s="138">
        <f ca="1">IFERROR(__xludf.DUMMYFUNCTION("""COMPUTED_VALUE"""),2811713)</f>
        <v>2811713</v>
      </c>
      <c r="K24" s="138" t="str">
        <f ca="1">IFERROR(__xludf.DUMMYFUNCTION("""COMPUTED_VALUE"""),"Beginner")</f>
        <v>Beginner</v>
      </c>
      <c r="L24" s="139" t="str">
        <f ca="1">IFERROR(__xludf.DUMMYFUNCTION("""COMPUTED_VALUE"""),"Avoiding Burnout")</f>
        <v>Avoiding Burnout</v>
      </c>
      <c r="M24" s="141"/>
      <c r="N24" s="134"/>
      <c r="O24" s="134"/>
      <c r="P24" s="134"/>
      <c r="Q24" s="138">
        <f ca="1">IFERROR(__xludf.DUMMYFUNCTION("""COMPUTED_VALUE"""),2825332)</f>
        <v>2825332</v>
      </c>
      <c r="R24" s="138" t="str">
        <f ca="1">IFERROR(__xludf.DUMMYFUNCTION("""COMPUTED_VALUE"""),"Beginner + Intermediate")</f>
        <v>Beginner + Intermediate</v>
      </c>
      <c r="S24" s="139" t="str">
        <f ca="1">IFERROR(__xludf.DUMMYFUNCTION("""COMPUTED_VALUE"""),"Leading Virtual Meetings")</f>
        <v>Leading Virtual Meetings</v>
      </c>
      <c r="T24" s="141"/>
      <c r="U24" s="134"/>
      <c r="V24" s="134"/>
    </row>
    <row r="25" spans="1:22" ht="33.75" customHeight="1" x14ac:dyDescent="0.15">
      <c r="A25" s="134"/>
      <c r="B25" s="134"/>
      <c r="C25" s="138">
        <f ca="1">IFERROR(__xludf.DUMMYFUNCTION("""COMPUTED_VALUE"""),669533)</f>
        <v>669533</v>
      </c>
      <c r="D25" s="138" t="str">
        <f ca="1">IFERROR(__xludf.DUMMYFUNCTION("""COMPUTED_VALUE"""),"Beginner")</f>
        <v>Beginner</v>
      </c>
      <c r="E25" s="139" t="str">
        <f ca="1">IFERROR(__xludf.DUMMYFUNCTION("""COMPUTED_VALUE"""),"Sheryl Sandberg and Adam Grant on Option B: Building Resilience")</f>
        <v>Sheryl Sandberg and Adam Grant on Option B: Building Resilience</v>
      </c>
      <c r="F25" s="141"/>
      <c r="G25" s="134"/>
      <c r="H25" s="134"/>
      <c r="I25" s="134"/>
      <c r="J25" s="138">
        <f ca="1">IFERROR(__xludf.DUMMYFUNCTION("""COMPUTED_VALUE"""),2812532)</f>
        <v>2812532</v>
      </c>
      <c r="K25" s="138" t="str">
        <f ca="1">IFERROR(__xludf.DUMMYFUNCTION("""COMPUTED_VALUE"""),"Beginner")</f>
        <v>Beginner</v>
      </c>
      <c r="L25" s="139" t="str">
        <f ca="1">IFERROR(__xludf.DUMMYFUNCTION("""COMPUTED_VALUE"""),"Get Unstuck from a Career Rut")</f>
        <v>Get Unstuck from a Career Rut</v>
      </c>
      <c r="M25" s="141"/>
      <c r="N25" s="134"/>
      <c r="O25" s="134"/>
      <c r="P25" s="134"/>
      <c r="Q25" s="138">
        <f ca="1">IFERROR(__xludf.DUMMYFUNCTION("""COMPUTED_VALUE"""),802842)</f>
        <v>802842</v>
      </c>
      <c r="R25" s="138" t="str">
        <f ca="1">IFERROR(__xludf.DUMMYFUNCTION("""COMPUTED_VALUE"""),"Beginner + Intermediate")</f>
        <v>Beginner + Intermediate</v>
      </c>
      <c r="S25" s="139" t="str">
        <f ca="1">IFERROR(__xludf.DUMMYFUNCTION("""COMPUTED_VALUE"""),"Coaching and Developing Employees")</f>
        <v>Coaching and Developing Employees</v>
      </c>
      <c r="T25" s="141"/>
      <c r="U25" s="134"/>
      <c r="V25" s="134"/>
    </row>
    <row r="26" spans="1:22" ht="33.75" customHeight="1" x14ac:dyDescent="0.15">
      <c r="A26" s="134"/>
      <c r="B26" s="134"/>
      <c r="C26" s="138">
        <f ca="1">IFERROR(__xludf.DUMMYFUNCTION("""COMPUTED_VALUE"""),155342)</f>
        <v>155342</v>
      </c>
      <c r="D26" s="138" t="str">
        <f ca="1">IFERROR(__xludf.DUMMYFUNCTION("""COMPUTED_VALUE"""),"Beginner")</f>
        <v>Beginner</v>
      </c>
      <c r="E26" s="139" t="str">
        <f ca="1">IFERROR(__xludf.DUMMYFUNCTION("""COMPUTED_VALUE"""),"Solving Business Problems")</f>
        <v>Solving Business Problems</v>
      </c>
      <c r="F26" s="141"/>
      <c r="G26" s="134"/>
      <c r="H26" s="134"/>
      <c r="I26" s="134"/>
      <c r="J26" s="138">
        <f ca="1">IFERROR(__xludf.DUMMYFUNCTION("""COMPUTED_VALUE"""),2815157)</f>
        <v>2815157</v>
      </c>
      <c r="K26" s="138" t="str">
        <f ca="1">IFERROR(__xludf.DUMMYFUNCTION("""COMPUTED_VALUE"""),"Beginner")</f>
        <v>Beginner</v>
      </c>
      <c r="L26" s="139" t="str">
        <f ca="1">IFERROR(__xludf.DUMMYFUNCTION("""COMPUTED_VALUE"""),"Agile Software Development: Creating an Agile Culture")</f>
        <v>Agile Software Development: Creating an Agile Culture</v>
      </c>
      <c r="M26" s="141"/>
      <c r="N26" s="134"/>
      <c r="O26" s="134"/>
      <c r="P26" s="134"/>
      <c r="Q26" s="138">
        <f ca="1">IFERROR(__xludf.DUMMYFUNCTION("""COMPUTED_VALUE"""),661750)</f>
        <v>661750</v>
      </c>
      <c r="R26" s="138" t="str">
        <f ca="1">IFERROR(__xludf.DUMMYFUNCTION("""COMPUTED_VALUE"""),"Beginner + Intermediate")</f>
        <v>Beginner + Intermediate</v>
      </c>
      <c r="S26" s="139" t="str">
        <f ca="1">IFERROR(__xludf.DUMMYFUNCTION("""COMPUTED_VALUE"""),"Improving Employee Performance")</f>
        <v>Improving Employee Performance</v>
      </c>
      <c r="T26" s="141"/>
      <c r="U26" s="134"/>
      <c r="V26" s="134"/>
    </row>
    <row r="27" spans="1:22" ht="33.75" customHeight="1" x14ac:dyDescent="0.15">
      <c r="A27" s="134"/>
      <c r="B27" s="134"/>
      <c r="C27" s="138">
        <f ca="1">IFERROR(__xludf.DUMMYFUNCTION("""COMPUTED_VALUE"""),397387)</f>
        <v>397387</v>
      </c>
      <c r="D27" s="138" t="str">
        <f ca="1">IFERROR(__xludf.DUMMYFUNCTION("""COMPUTED_VALUE"""),"Beginner")</f>
        <v>Beginner</v>
      </c>
      <c r="E27" s="139" t="str">
        <f ca="1">IFERROR(__xludf.DUMMYFUNCTION("""COMPUTED_VALUE"""),"Time Management Fundamentals")</f>
        <v>Time Management Fundamentals</v>
      </c>
      <c r="F27" s="141"/>
      <c r="G27" s="134"/>
      <c r="H27" s="134"/>
      <c r="I27" s="134"/>
      <c r="J27" s="138">
        <f ca="1">IFERROR(__xludf.DUMMYFUNCTION("""COMPUTED_VALUE"""),2822310)</f>
        <v>2822310</v>
      </c>
      <c r="K27" s="138" t="str">
        <f ca="1">IFERROR(__xludf.DUMMYFUNCTION("""COMPUTED_VALUE"""),"Beginner")</f>
        <v>Beginner</v>
      </c>
      <c r="L27" s="139" t="str">
        <f ca="1">IFERROR(__xludf.DUMMYFUNCTION("""COMPUTED_VALUE"""),"Subtle Shifts in Thinking for Tremendous Resilience")</f>
        <v>Subtle Shifts in Thinking for Tremendous Resilience</v>
      </c>
      <c r="M27" s="141"/>
      <c r="N27" s="134"/>
      <c r="O27" s="134"/>
      <c r="P27" s="134"/>
      <c r="Q27" s="138">
        <f ca="1">IFERROR(__xludf.DUMMYFUNCTION("""COMPUTED_VALUE"""),746304)</f>
        <v>746304</v>
      </c>
      <c r="R27" s="138" t="str">
        <f ca="1">IFERROR(__xludf.DUMMYFUNCTION("""COMPUTED_VALUE"""),"Beginner + Intermediate")</f>
        <v>Beginner + Intermediate</v>
      </c>
      <c r="S27" s="139" t="str">
        <f ca="1">IFERROR(__xludf.DUMMYFUNCTION("""COMPUTED_VALUE"""),"Managing Teams")</f>
        <v>Managing Teams</v>
      </c>
      <c r="T27" s="141"/>
      <c r="U27" s="134"/>
      <c r="V27" s="134"/>
    </row>
    <row r="28" spans="1:22" ht="33.75" customHeight="1" x14ac:dyDescent="0.15">
      <c r="A28" s="134"/>
      <c r="B28" s="134"/>
      <c r="C28" s="138">
        <f ca="1">IFERROR(__xludf.DUMMYFUNCTION("""COMPUTED_VALUE"""),578055)</f>
        <v>578055</v>
      </c>
      <c r="D28" s="138" t="str">
        <f ca="1">IFERROR(__xludf.DUMMYFUNCTION("""COMPUTED_VALUE"""),"Beginner")</f>
        <v>Beginner</v>
      </c>
      <c r="E28" s="139" t="str">
        <f ca="1">IFERROR(__xludf.DUMMYFUNCTION("""COMPUTED_VALUE"""),"Tony Schwartz on Managing Your Energy for Sustainable High Performance")</f>
        <v>Tony Schwartz on Managing Your Energy for Sustainable High Performance</v>
      </c>
      <c r="F28" s="141"/>
      <c r="G28" s="134"/>
      <c r="H28" s="134"/>
      <c r="I28" s="134"/>
      <c r="J28" s="138">
        <f ca="1">IFERROR(__xludf.DUMMYFUNCTION("""COMPUTED_VALUE"""),2823252)</f>
        <v>2823252</v>
      </c>
      <c r="K28" s="138" t="str">
        <f ca="1">IFERROR(__xludf.DUMMYFUNCTION("""COMPUTED_VALUE"""),"Beginner")</f>
        <v>Beginner</v>
      </c>
      <c r="L28" s="139" t="str">
        <f ca="1">IFERROR(__xludf.DUMMYFUNCTION("""COMPUTED_VALUE"""),"Managing Self-Doubt to Tackle Bigger Challenges")</f>
        <v>Managing Self-Doubt to Tackle Bigger Challenges</v>
      </c>
      <c r="M28" s="141"/>
      <c r="N28" s="134"/>
      <c r="O28" s="134"/>
      <c r="P28" s="134"/>
      <c r="Q28" s="138">
        <f ca="1">IFERROR(__xludf.DUMMYFUNCTION("""COMPUTED_VALUE"""),5028615)</f>
        <v>5028615</v>
      </c>
      <c r="R28" s="138" t="str">
        <f ca="1">IFERROR(__xludf.DUMMYFUNCTION("""COMPUTED_VALUE"""),"Beginner + Intermediate")</f>
        <v>Beginner + Intermediate</v>
      </c>
      <c r="S28" s="139" t="str">
        <f ca="1">IFERROR(__xludf.DUMMYFUNCTION("""COMPUTED_VALUE"""),"Managing Virtual Teams")</f>
        <v>Managing Virtual Teams</v>
      </c>
      <c r="T28" s="141"/>
      <c r="U28" s="134"/>
      <c r="V28" s="134"/>
    </row>
    <row r="29" spans="1:22" ht="33.75" customHeight="1" x14ac:dyDescent="0.15">
      <c r="A29" s="134"/>
      <c r="B29" s="134"/>
      <c r="C29" s="138">
        <f ca="1">IFERROR(__xludf.DUMMYFUNCTION("""COMPUTED_VALUE"""),2813145)</f>
        <v>2813145</v>
      </c>
      <c r="D29" s="138" t="str">
        <f ca="1">IFERROR(__xludf.DUMMYFUNCTION("""COMPUTED_VALUE"""),"Beginner")</f>
        <v>Beginner</v>
      </c>
      <c r="E29" s="139" t="str">
        <f ca="1">IFERROR(__xludf.DUMMYFUNCTION("""COMPUTED_VALUE"""),"Proven Tips for Managing Your Time")</f>
        <v>Proven Tips for Managing Your Time</v>
      </c>
      <c r="F29" s="141"/>
      <c r="G29" s="134"/>
      <c r="H29" s="134"/>
      <c r="I29" s="134"/>
      <c r="J29" s="138">
        <f ca="1">IFERROR(__xludf.DUMMYFUNCTION("""COMPUTED_VALUE"""),5015862)</f>
        <v>5015862</v>
      </c>
      <c r="K29" s="138" t="str">
        <f ca="1">IFERROR(__xludf.DUMMYFUNCTION("""COMPUTED_VALUE"""),"Beginner")</f>
        <v>Beginner</v>
      </c>
      <c r="L29" s="139" t="str">
        <f ca="1">IFERROR(__xludf.DUMMYFUNCTION("""COMPUTED_VALUE"""),"Embracing Unexpected Change")</f>
        <v>Embracing Unexpected Change</v>
      </c>
      <c r="M29" s="141"/>
      <c r="N29" s="134"/>
      <c r="O29" s="134"/>
      <c r="P29" s="134"/>
      <c r="Q29" s="138">
        <f ca="1">IFERROR(__xludf.DUMMYFUNCTION("""COMPUTED_VALUE"""),688508)</f>
        <v>688508</v>
      </c>
      <c r="R29" s="138" t="str">
        <f ca="1">IFERROR(__xludf.DUMMYFUNCTION("""COMPUTED_VALUE"""),"Beginner + Intermediate")</f>
        <v>Beginner + Intermediate</v>
      </c>
      <c r="S29" s="139" t="str">
        <f ca="1">IFERROR(__xludf.DUMMYFUNCTION("""COMPUTED_VALUE"""),"Motivating and Engaging Employees")</f>
        <v>Motivating and Engaging Employees</v>
      </c>
      <c r="T29" s="141"/>
      <c r="U29" s="134"/>
      <c r="V29" s="134"/>
    </row>
    <row r="30" spans="1:22" ht="33.75" customHeight="1" x14ac:dyDescent="0.15">
      <c r="A30" s="134"/>
      <c r="B30" s="134"/>
      <c r="C30" s="138">
        <f ca="1">IFERROR(__xludf.DUMMYFUNCTION("""COMPUTED_VALUE"""),2813184)</f>
        <v>2813184</v>
      </c>
      <c r="D30" s="138" t="str">
        <f ca="1">IFERROR(__xludf.DUMMYFUNCTION("""COMPUTED_VALUE"""),"Beginner")</f>
        <v>Beginner</v>
      </c>
      <c r="E30" s="139" t="str">
        <f ca="1">IFERROR(__xludf.DUMMYFUNCTION("""COMPUTED_VALUE"""),"Time Management Tips: Scheduling")</f>
        <v>Time Management Tips: Scheduling</v>
      </c>
      <c r="F30" s="141"/>
      <c r="G30" s="134"/>
      <c r="H30" s="134"/>
      <c r="I30" s="134"/>
      <c r="J30" s="138">
        <f ca="1">IFERROR(__xludf.DUMMYFUNCTION("""COMPUTED_VALUE"""),2835068)</f>
        <v>2835068</v>
      </c>
      <c r="K30" s="138" t="str">
        <f ca="1">IFERROR(__xludf.DUMMYFUNCTION("""COMPUTED_VALUE"""),"Beginner + Intermediate")</f>
        <v>Beginner + Intermediate</v>
      </c>
      <c r="L30" s="139" t="str">
        <f ca="1">IFERROR(__xludf.DUMMYFUNCTION("""COMPUTED_VALUE"""),"Preparing to Lead: Developing Mental Toughness in Yourself")</f>
        <v>Preparing to Lead: Developing Mental Toughness in Yourself</v>
      </c>
      <c r="M30" s="141"/>
      <c r="N30" s="134"/>
      <c r="O30" s="134"/>
      <c r="P30" s="134"/>
      <c r="Q30" s="138">
        <f ca="1">IFERROR(__xludf.DUMMYFUNCTION("""COMPUTED_VALUE"""),661748)</f>
        <v>661748</v>
      </c>
      <c r="R30" s="138" t="str">
        <f ca="1">IFERROR(__xludf.DUMMYFUNCTION("""COMPUTED_VALUE"""),"Beginner + Intermediate")</f>
        <v>Beginner + Intermediate</v>
      </c>
      <c r="S30" s="139" t="str">
        <f ca="1">IFERROR(__xludf.DUMMYFUNCTION("""COMPUTED_VALUE"""),"Rewarding Employee Performance")</f>
        <v>Rewarding Employee Performance</v>
      </c>
      <c r="T30" s="141"/>
      <c r="U30" s="134"/>
      <c r="V30" s="134"/>
    </row>
    <row r="31" spans="1:22" ht="33.75" customHeight="1" x14ac:dyDescent="0.15">
      <c r="A31" s="134"/>
      <c r="B31" s="134"/>
      <c r="C31" s="138">
        <f ca="1">IFERROR(__xludf.DUMMYFUNCTION("""COMPUTED_VALUE"""),2813277)</f>
        <v>2813277</v>
      </c>
      <c r="D31" s="138" t="str">
        <f ca="1">IFERROR(__xludf.DUMMYFUNCTION("""COMPUTED_VALUE"""),"Beginner")</f>
        <v>Beginner</v>
      </c>
      <c r="E31" s="139" t="str">
        <f ca="1">IFERROR(__xludf.DUMMYFUNCTION("""COMPUTED_VALUE"""),"Time Management Tips: Teamwork")</f>
        <v>Time Management Tips: Teamwork</v>
      </c>
      <c r="F31" s="141"/>
      <c r="G31" s="134"/>
      <c r="H31" s="134"/>
      <c r="I31" s="134"/>
      <c r="J31" s="138">
        <f ca="1">IFERROR(__xludf.DUMMYFUNCTION("""COMPUTED_VALUE"""),2871163)</f>
        <v>2871163</v>
      </c>
      <c r="K31" s="138" t="str">
        <f ca="1">IFERROR(__xludf.DUMMYFUNCTION("""COMPUTED_VALUE"""),"Beginner + Intermediate")</f>
        <v>Beginner + Intermediate</v>
      </c>
      <c r="L31" s="139" t="str">
        <f ca="1">IFERROR(__xludf.DUMMYFUNCTION("""COMPUTED_VALUE"""),"Real Estate: Developing a Growth Mindset")</f>
        <v>Real Estate: Developing a Growth Mindset</v>
      </c>
      <c r="M31" s="141"/>
      <c r="N31" s="134"/>
      <c r="O31" s="134"/>
      <c r="P31" s="134"/>
      <c r="Q31" s="138">
        <f ca="1">IFERROR(__xludf.DUMMYFUNCTION("""COMPUTED_VALUE"""),2244039)</f>
        <v>2244039</v>
      </c>
      <c r="R31" s="138" t="str">
        <f ca="1">IFERROR(__xludf.DUMMYFUNCTION("""COMPUTED_VALUE"""),"General")</f>
        <v>General</v>
      </c>
      <c r="S31" s="139" t="str">
        <f ca="1">IFERROR(__xludf.DUMMYFUNCTION("""COMPUTED_VALUE"""),"A Great Place to Work for All (getAbstract Summary)")</f>
        <v>A Great Place to Work for All (getAbstract Summary)</v>
      </c>
      <c r="T31" s="141"/>
      <c r="U31" s="134"/>
      <c r="V31" s="134"/>
    </row>
    <row r="32" spans="1:22" ht="33.75" customHeight="1" x14ac:dyDescent="0.15">
      <c r="A32" s="134"/>
      <c r="B32" s="134"/>
      <c r="C32" s="138">
        <f ca="1">IFERROR(__xludf.DUMMYFUNCTION("""COMPUTED_VALUE"""),2813278)</f>
        <v>2813278</v>
      </c>
      <c r="D32" s="138" t="str">
        <f ca="1">IFERROR(__xludf.DUMMYFUNCTION("""COMPUTED_VALUE"""),"Beginner")</f>
        <v>Beginner</v>
      </c>
      <c r="E32" s="139" t="str">
        <f ca="1">IFERROR(__xludf.DUMMYFUNCTION("""COMPUTED_VALUE"""),"Time Management Tips: Following Through")</f>
        <v>Time Management Tips: Following Through</v>
      </c>
      <c r="F32" s="141"/>
      <c r="G32" s="134"/>
      <c r="H32" s="134"/>
      <c r="I32" s="134"/>
      <c r="J32" s="138">
        <f ca="1">IFERROR(__xludf.DUMMYFUNCTION("""COMPUTED_VALUE"""),2815033)</f>
        <v>2815033</v>
      </c>
      <c r="K32" s="138" t="str">
        <f ca="1">IFERROR(__xludf.DUMMYFUNCTION("""COMPUTED_VALUE"""),"Beginner + Intermediate")</f>
        <v>Beginner + Intermediate</v>
      </c>
      <c r="L32" s="139" t="str">
        <f ca="1">IFERROR(__xludf.DUMMYFUNCTION("""COMPUTED_VALUE"""),"Mixtape: Highlights from LinkedIn Learning Courses")</f>
        <v>Mixtape: Highlights from LinkedIn Learning Courses</v>
      </c>
      <c r="M32" s="141"/>
      <c r="N32" s="134"/>
      <c r="O32" s="134"/>
      <c r="P32" s="134"/>
      <c r="Q32" s="138">
        <f ca="1">IFERROR(__xludf.DUMMYFUNCTION("""COMPUTED_VALUE"""),2241058)</f>
        <v>2241058</v>
      </c>
      <c r="R32" s="138" t="str">
        <f ca="1">IFERROR(__xludf.DUMMYFUNCTION("""COMPUTED_VALUE"""),"General")</f>
        <v>General</v>
      </c>
      <c r="S32" s="139" t="str">
        <f ca="1">IFERROR(__xludf.DUMMYFUNCTION("""COMPUTED_VALUE"""),"Why Motivating People Doesn’t Work . . . and What Does (getAbstract Summary)")</f>
        <v>Why Motivating People Doesn’t Work . . . and What Does (getAbstract Summary)</v>
      </c>
      <c r="T32" s="141"/>
      <c r="U32" s="134"/>
      <c r="V32" s="134"/>
    </row>
    <row r="33" spans="1:22" ht="33.75" customHeight="1" x14ac:dyDescent="0.15">
      <c r="A33" s="134"/>
      <c r="B33" s="134"/>
      <c r="C33" s="138">
        <f ca="1">IFERROR(__xludf.DUMMYFUNCTION("""COMPUTED_VALUE"""),2813279)</f>
        <v>2813279</v>
      </c>
      <c r="D33" s="138" t="str">
        <f ca="1">IFERROR(__xludf.DUMMYFUNCTION("""COMPUTED_VALUE"""),"Beginner")</f>
        <v>Beginner</v>
      </c>
      <c r="E33" s="139" t="str">
        <f ca="1">IFERROR(__xludf.DUMMYFUNCTION("""COMPUTED_VALUE"""),"Productivity Tips: Finding Your Rhythm")</f>
        <v>Productivity Tips: Finding Your Rhythm</v>
      </c>
      <c r="F33" s="141"/>
      <c r="G33" s="134"/>
      <c r="H33" s="134"/>
      <c r="I33" s="134"/>
      <c r="J33" s="138">
        <f ca="1">IFERROR(__xludf.DUMMYFUNCTION("""COMPUTED_VALUE"""),387349)</f>
        <v>387349</v>
      </c>
      <c r="K33" s="138" t="str">
        <f ca="1">IFERROR(__xludf.DUMMYFUNCTION("""COMPUTED_VALUE"""),"Beginner + Intermediate")</f>
        <v>Beginner + Intermediate</v>
      </c>
      <c r="L33" s="139" t="str">
        <f ca="1">IFERROR(__xludf.DUMMYFUNCTION("""COMPUTED_VALUE"""),"Powerless to Powerful: Taking Control")</f>
        <v>Powerless to Powerful: Taking Control</v>
      </c>
      <c r="M33" s="141"/>
      <c r="N33" s="134"/>
      <c r="O33" s="134"/>
      <c r="P33" s="134"/>
      <c r="Q33" s="138">
        <f ca="1">IFERROR(__xludf.DUMMYFUNCTION("""COMPUTED_VALUE"""),2837262)</f>
        <v>2837262</v>
      </c>
      <c r="R33" s="138" t="str">
        <f ca="1">IFERROR(__xludf.DUMMYFUNCTION("""COMPUTED_VALUE"""),"General")</f>
        <v>General</v>
      </c>
      <c r="S33" s="139" t="str">
        <f ca="1">IFERROR(__xludf.DUMMYFUNCTION("""COMPUTED_VALUE"""),"Business Chemistry (Blinkist Summary)")</f>
        <v>Business Chemistry (Blinkist Summary)</v>
      </c>
      <c r="T33" s="141"/>
      <c r="U33" s="134"/>
      <c r="V33" s="134"/>
    </row>
    <row r="34" spans="1:22" ht="33.75" customHeight="1" x14ac:dyDescent="0.15">
      <c r="A34" s="134"/>
      <c r="B34" s="134"/>
      <c r="C34" s="138">
        <f ca="1">IFERROR(__xludf.DUMMYFUNCTION("""COMPUTED_VALUE"""),2814141)</f>
        <v>2814141</v>
      </c>
      <c r="D34" s="138" t="str">
        <f ca="1">IFERROR(__xludf.DUMMYFUNCTION("""COMPUTED_VALUE"""),"Beginner")</f>
        <v>Beginner</v>
      </c>
      <c r="E34" s="139" t="str">
        <f ca="1">IFERROR(__xludf.DUMMYFUNCTION("""COMPUTED_VALUE"""),"Productivity Tips: Using Technology")</f>
        <v>Productivity Tips: Using Technology</v>
      </c>
      <c r="F34" s="141"/>
      <c r="G34" s="134"/>
      <c r="H34" s="134"/>
      <c r="I34" s="134"/>
      <c r="J34" s="138">
        <f ca="1">IFERROR(__xludf.DUMMYFUNCTION("""COMPUTED_VALUE"""),515156)</f>
        <v>515156</v>
      </c>
      <c r="K34" s="138" t="str">
        <f ca="1">IFERROR(__xludf.DUMMYFUNCTION("""COMPUTED_VALUE"""),"Beginner + Intermediate")</f>
        <v>Beginner + Intermediate</v>
      </c>
      <c r="L34" s="139" t="str">
        <f ca="1">IFERROR(__xludf.DUMMYFUNCTION("""COMPUTED_VALUE"""),"Handling Workplace Change as an Employee")</f>
        <v>Handling Workplace Change as an Employee</v>
      </c>
      <c r="M34" s="141"/>
      <c r="N34" s="134"/>
      <c r="O34" s="134"/>
      <c r="P34" s="134"/>
      <c r="Q34" s="138">
        <f ca="1">IFERROR(__xludf.DUMMYFUNCTION("""COMPUTED_VALUE"""),2825695)</f>
        <v>2825695</v>
      </c>
      <c r="R34" s="138" t="str">
        <f ca="1">IFERROR(__xludf.DUMMYFUNCTION("""COMPUTED_VALUE"""),"General")</f>
        <v>General</v>
      </c>
      <c r="S34" s="139" t="str">
        <f ca="1">IFERROR(__xludf.DUMMYFUNCTION("""COMPUTED_VALUE"""),"Creating a Communications Strategy")</f>
        <v>Creating a Communications Strategy</v>
      </c>
      <c r="T34" s="141"/>
      <c r="U34" s="134"/>
      <c r="V34" s="134"/>
    </row>
    <row r="35" spans="1:22" ht="33.75" customHeight="1" x14ac:dyDescent="0.15">
      <c r="A35" s="134"/>
      <c r="B35" s="134"/>
      <c r="C35" s="138">
        <f ca="1">IFERROR(__xludf.DUMMYFUNCTION("""COMPUTED_VALUE"""),2814142)</f>
        <v>2814142</v>
      </c>
      <c r="D35" s="138" t="str">
        <f ca="1">IFERROR(__xludf.DUMMYFUNCTION("""COMPUTED_VALUE"""),"Beginner")</f>
        <v>Beginner</v>
      </c>
      <c r="E35" s="139" t="str">
        <f ca="1">IFERROR(__xludf.DUMMYFUNCTION("""COMPUTED_VALUE"""),"Productivity Tips: Finding Your Productive Mindset")</f>
        <v>Productivity Tips: Finding Your Productive Mindset</v>
      </c>
      <c r="F35" s="141"/>
      <c r="G35" s="134"/>
      <c r="H35" s="134"/>
      <c r="I35" s="134"/>
      <c r="J35" s="138">
        <f ca="1">IFERROR(__xludf.DUMMYFUNCTION("""COMPUTED_VALUE"""),622050)</f>
        <v>622050</v>
      </c>
      <c r="K35" s="138" t="str">
        <f ca="1">IFERROR(__xludf.DUMMYFUNCTION("""COMPUTED_VALUE"""),"Beginner + Intermediate")</f>
        <v>Beginner + Intermediate</v>
      </c>
      <c r="L35" s="139" t="str">
        <f ca="1">IFERROR(__xludf.DUMMYFUNCTION("""COMPUTED_VALUE"""),"Developing Adaptable Employees")</f>
        <v>Developing Adaptable Employees</v>
      </c>
      <c r="M35" s="141"/>
      <c r="N35" s="134"/>
      <c r="O35" s="134"/>
      <c r="P35" s="134"/>
      <c r="Q35" s="138">
        <f ca="1">IFERROR(__xludf.DUMMYFUNCTION("""COMPUTED_VALUE"""),2848250)</f>
        <v>2848250</v>
      </c>
      <c r="R35" s="138" t="str">
        <f ca="1">IFERROR(__xludf.DUMMYFUNCTION("""COMPUTED_VALUE"""),"General")</f>
        <v>General</v>
      </c>
      <c r="S35" s="139" t="str">
        <f ca="1">IFERROR(__xludf.DUMMYFUNCTION("""COMPUTED_VALUE"""),"Supporting the Whole Self at Work, a Diversity and Inclusion Imperative")</f>
        <v>Supporting the Whole Self at Work, a Diversity and Inclusion Imperative</v>
      </c>
      <c r="T35" s="141"/>
      <c r="U35" s="134"/>
      <c r="V35" s="134"/>
    </row>
    <row r="36" spans="1:22" ht="33.75" customHeight="1" x14ac:dyDescent="0.15">
      <c r="A36" s="134"/>
      <c r="B36" s="134"/>
      <c r="C36" s="138">
        <f ca="1">IFERROR(__xludf.DUMMYFUNCTION("""COMPUTED_VALUE"""),2814143)</f>
        <v>2814143</v>
      </c>
      <c r="D36" s="138" t="str">
        <f ca="1">IFERROR(__xludf.DUMMYFUNCTION("""COMPUTED_VALUE"""),"Beginner")</f>
        <v>Beginner</v>
      </c>
      <c r="E36" s="139" t="str">
        <f ca="1">IFERROR(__xludf.DUMMYFUNCTION("""COMPUTED_VALUE"""),"Productivity Tips: Setting Up Your Workplace")</f>
        <v>Productivity Tips: Setting Up Your Workplace</v>
      </c>
      <c r="F36" s="141"/>
      <c r="G36" s="134"/>
      <c r="H36" s="134"/>
      <c r="I36" s="134"/>
      <c r="J36" s="138">
        <f ca="1">IFERROR(__xludf.DUMMYFUNCTION("""COMPUTED_VALUE"""),659269)</f>
        <v>659269</v>
      </c>
      <c r="K36" s="138" t="str">
        <f ca="1">IFERROR(__xludf.DUMMYFUNCTION("""COMPUTED_VALUE"""),"Beginner + Intermediate")</f>
        <v>Beginner + Intermediate</v>
      </c>
      <c r="L36" s="139" t="str">
        <f ca="1">IFERROR(__xludf.DUMMYFUNCTION("""COMPUTED_VALUE"""),"Managing Stress for Positive Change")</f>
        <v>Managing Stress for Positive Change</v>
      </c>
      <c r="M36" s="141"/>
      <c r="N36" s="134"/>
      <c r="O36" s="134"/>
      <c r="P36" s="134"/>
      <c r="Q36" s="138">
        <f ca="1">IFERROR(__xludf.DUMMYFUNCTION("""COMPUTED_VALUE"""),2835113)</f>
        <v>2835113</v>
      </c>
      <c r="R36" s="138" t="str">
        <f ca="1">IFERROR(__xludf.DUMMYFUNCTION("""COMPUTED_VALUE"""),"General")</f>
        <v>General</v>
      </c>
      <c r="S36" s="139" t="str">
        <f ca="1">IFERROR(__xludf.DUMMYFUNCTION("""COMPUTED_VALUE"""),"Essentials of Team Collaboration")</f>
        <v>Essentials of Team Collaboration</v>
      </c>
      <c r="T36" s="141"/>
      <c r="U36" s="134"/>
      <c r="V36" s="134"/>
    </row>
    <row r="37" spans="1:22" ht="33.75" customHeight="1" x14ac:dyDescent="0.15">
      <c r="A37" s="134"/>
      <c r="B37" s="134"/>
      <c r="C37" s="138">
        <f ca="1">IFERROR(__xludf.DUMMYFUNCTION("""COMPUTED_VALUE"""),2815118)</f>
        <v>2815118</v>
      </c>
      <c r="D37" s="138" t="str">
        <f ca="1">IFERROR(__xludf.DUMMYFUNCTION("""COMPUTED_VALUE"""),"Beginner")</f>
        <v>Beginner</v>
      </c>
      <c r="E37" s="139" t="str">
        <f ca="1">IFERROR(__xludf.DUMMYFUNCTION("""COMPUTED_VALUE"""),"Productivity Tips: Taking Control of Email")</f>
        <v>Productivity Tips: Taking Control of Email</v>
      </c>
      <c r="F37" s="141"/>
      <c r="G37" s="134"/>
      <c r="H37" s="134"/>
      <c r="I37" s="134"/>
      <c r="J37" s="138">
        <f ca="1">IFERROR(__xludf.DUMMYFUNCTION("""COMPUTED_VALUE"""),2242043)</f>
        <v>2242043</v>
      </c>
      <c r="K37" s="138" t="str">
        <f ca="1">IFERROR(__xludf.DUMMYFUNCTION("""COMPUTED_VALUE"""),"General")</f>
        <v>General</v>
      </c>
      <c r="L37" s="139" t="str">
        <f ca="1">IFERROR(__xludf.DUMMYFUNCTION("""COMPUTED_VALUE"""),"Crunch Time: How to Be Your Best When It Matters Most (getAbstract Summary)")</f>
        <v>Crunch Time: How to Be Your Best When It Matters Most (getAbstract Summary)</v>
      </c>
      <c r="M37" s="141"/>
      <c r="N37" s="134"/>
      <c r="O37" s="134"/>
      <c r="P37" s="134"/>
      <c r="Q37" s="138">
        <f ca="1">IFERROR(__xludf.DUMMYFUNCTION("""COMPUTED_VALUE"""),2848239)</f>
        <v>2848239</v>
      </c>
      <c r="R37" s="138" t="str">
        <f ca="1">IFERROR(__xludf.DUMMYFUNCTION("""COMPUTED_VALUE"""),"General")</f>
        <v>General</v>
      </c>
      <c r="S37" s="139" t="str">
        <f ca="1">IFERROR(__xludf.DUMMYFUNCTION("""COMPUTED_VALUE"""),"Managing Remote Teams: Setting Expectations, Behaviors, and Habits")</f>
        <v>Managing Remote Teams: Setting Expectations, Behaviors, and Habits</v>
      </c>
      <c r="T37" s="141"/>
      <c r="U37" s="134"/>
      <c r="V37" s="134"/>
    </row>
    <row r="38" spans="1:22" ht="33.75" customHeight="1" x14ac:dyDescent="0.15">
      <c r="A38" s="134"/>
      <c r="B38" s="134"/>
      <c r="C38" s="138">
        <f ca="1">IFERROR(__xludf.DUMMYFUNCTION("""COMPUTED_VALUE"""),2823511)</f>
        <v>2823511</v>
      </c>
      <c r="D38" s="138" t="str">
        <f ca="1">IFERROR(__xludf.DUMMYFUNCTION("""COMPUTED_VALUE"""),"Beginner")</f>
        <v>Beginner</v>
      </c>
      <c r="E38" s="139" t="str">
        <f ca="1">IFERROR(__xludf.DUMMYFUNCTION("""COMPUTED_VALUE"""),"Building a Better To-Do List")</f>
        <v>Building a Better To-Do List</v>
      </c>
      <c r="F38" s="141"/>
      <c r="G38" s="134"/>
      <c r="H38" s="134"/>
      <c r="I38" s="134"/>
      <c r="J38" s="138">
        <f ca="1">IFERROR(__xludf.DUMMYFUNCTION("""COMPUTED_VALUE"""),2834040)</f>
        <v>2834040</v>
      </c>
      <c r="K38" s="138" t="str">
        <f ca="1">IFERROR(__xludf.DUMMYFUNCTION("""COMPUTED_VALUE"""),"General")</f>
        <v>General</v>
      </c>
      <c r="L38" s="139" t="str">
        <f ca="1">IFERROR(__xludf.DUMMYFUNCTION("""COMPUTED_VALUE"""),"How to be an Adaptable Employee During Change and Uncertainty")</f>
        <v>How to be an Adaptable Employee During Change and Uncertainty</v>
      </c>
      <c r="M38" s="141"/>
      <c r="N38" s="134"/>
      <c r="O38" s="134"/>
      <c r="P38" s="134"/>
      <c r="Q38" s="138">
        <f ca="1">IFERROR(__xludf.DUMMYFUNCTION("""COMPUTED_VALUE"""),2828008)</f>
        <v>2828008</v>
      </c>
      <c r="R38" s="138" t="str">
        <f ca="1">IFERROR(__xludf.DUMMYFUNCTION("""COMPUTED_VALUE"""),"Intermediate")</f>
        <v>Intermediate</v>
      </c>
      <c r="S38" s="139" t="str">
        <f ca="1">IFERROR(__xludf.DUMMYFUNCTION("""COMPUTED_VALUE"""),"Microsoft Teams: Successful Meetings and Events")</f>
        <v>Microsoft Teams: Successful Meetings and Events</v>
      </c>
      <c r="T38" s="141"/>
      <c r="U38" s="134"/>
      <c r="V38" s="134"/>
    </row>
    <row r="39" spans="1:22" ht="33.75" customHeight="1" x14ac:dyDescent="0.15">
      <c r="A39" s="134"/>
      <c r="B39" s="134"/>
      <c r="C39" s="138">
        <f ca="1">IFERROR(__xludf.DUMMYFUNCTION("""COMPUTED_VALUE"""),2242039)</f>
        <v>2242039</v>
      </c>
      <c r="D39" s="138" t="str">
        <f ca="1">IFERROR(__xludf.DUMMYFUNCTION("""COMPUTED_VALUE"""),"Beginner")</f>
        <v>Beginner</v>
      </c>
      <c r="E39" s="139" t="str">
        <f ca="1">IFERROR(__xludf.DUMMYFUNCTION("""COMPUTED_VALUE"""),"15 Secrets Successful People Know About Time Management (getAbstract Summary)")</f>
        <v>15 Secrets Successful People Know About Time Management (getAbstract Summary)</v>
      </c>
      <c r="F39" s="141"/>
      <c r="G39" s="134"/>
      <c r="H39" s="134"/>
      <c r="I39" s="134"/>
      <c r="J39" s="138">
        <f ca="1">IFERROR(__xludf.DUMMYFUNCTION("""COMPUTED_VALUE"""),2824219)</f>
        <v>2824219</v>
      </c>
      <c r="K39" s="138" t="str">
        <f ca="1">IFERROR(__xludf.DUMMYFUNCTION("""COMPUTED_VALUE"""),"General")</f>
        <v>General</v>
      </c>
      <c r="L39" s="139" t="str">
        <f ca="1">IFERROR(__xludf.DUMMYFUNCTION("""COMPUTED_VALUE"""),"What Is Scrum?")</f>
        <v>What Is Scrum?</v>
      </c>
      <c r="M39" s="141"/>
      <c r="N39" s="134"/>
      <c r="O39" s="134"/>
      <c r="P39" s="134"/>
      <c r="Q39" s="138">
        <f ca="1">IFERROR(__xludf.DUMMYFUNCTION("""COMPUTED_VALUE"""),167028)</f>
        <v>167028</v>
      </c>
      <c r="R39" s="138" t="str">
        <f ca="1">IFERROR(__xludf.DUMMYFUNCTION("""COMPUTED_VALUE"""),"Intermediate")</f>
        <v>Intermediate</v>
      </c>
      <c r="S39" s="139" t="str">
        <f ca="1">IFERROR(__xludf.DUMMYFUNCTION("""COMPUTED_VALUE"""),"Building High-Performance Teams")</f>
        <v>Building High-Performance Teams</v>
      </c>
      <c r="T39" s="141"/>
      <c r="U39" s="134"/>
      <c r="V39" s="134"/>
    </row>
    <row r="40" spans="1:22" ht="33.75" customHeight="1" x14ac:dyDescent="0.15">
      <c r="A40" s="134"/>
      <c r="B40" s="134"/>
      <c r="C40" s="138">
        <f ca="1">IFERROR(__xludf.DUMMYFUNCTION("""COMPUTED_VALUE"""),2822203)</f>
        <v>2822203</v>
      </c>
      <c r="D40" s="138" t="str">
        <f ca="1">IFERROR(__xludf.DUMMYFUNCTION("""COMPUTED_VALUE"""),"Beginner")</f>
        <v>Beginner</v>
      </c>
      <c r="E40" s="139" t="str">
        <f ca="1">IFERROR(__xludf.DUMMYFUNCTION("""COMPUTED_VALUE"""),"How to Slow Down and Be More Productive")</f>
        <v>How to Slow Down and Be More Productive</v>
      </c>
      <c r="F40" s="141"/>
      <c r="G40" s="134"/>
      <c r="H40" s="134"/>
      <c r="I40" s="134"/>
      <c r="J40" s="138">
        <f ca="1">IFERROR(__xludf.DUMMYFUNCTION("""COMPUTED_VALUE"""),2841516)</f>
        <v>2841516</v>
      </c>
      <c r="K40" s="138" t="str">
        <f ca="1">IFERROR(__xludf.DUMMYFUNCTION("""COMPUTED_VALUE"""),"General")</f>
        <v>General</v>
      </c>
      <c r="L40" s="139" t="str">
        <f ca="1">IFERROR(__xludf.DUMMYFUNCTION("""COMPUTED_VALUE"""),"Balancing Work and Life as a Work-from-Home Parent")</f>
        <v>Balancing Work and Life as a Work-from-Home Parent</v>
      </c>
      <c r="M40" s="141"/>
      <c r="N40" s="134"/>
      <c r="O40" s="134"/>
      <c r="P40" s="134"/>
      <c r="Q40" s="138">
        <f ca="1">IFERROR(__xludf.DUMMYFUNCTION("""COMPUTED_VALUE"""),737756)</f>
        <v>737756</v>
      </c>
      <c r="R40" s="138" t="str">
        <f ca="1">IFERROR(__xludf.DUMMYFUNCTION("""COMPUTED_VALUE"""),"Intermediate")</f>
        <v>Intermediate</v>
      </c>
      <c r="S40" s="139" t="str">
        <f ca="1">IFERROR(__xludf.DUMMYFUNCTION("""COMPUTED_VALUE"""),"Developing Your Team Members")</f>
        <v>Developing Your Team Members</v>
      </c>
      <c r="T40" s="141"/>
      <c r="U40" s="134"/>
      <c r="V40" s="134"/>
    </row>
    <row r="41" spans="1:22" ht="33.75" customHeight="1" x14ac:dyDescent="0.15">
      <c r="A41" s="134"/>
      <c r="B41" s="134"/>
      <c r="C41" s="138">
        <f ca="1">IFERROR(__xludf.DUMMYFUNCTION("""COMPUTED_VALUE"""),2822312)</f>
        <v>2822312</v>
      </c>
      <c r="D41" s="138" t="str">
        <f ca="1">IFERROR(__xludf.DUMMYFUNCTION("""COMPUTED_VALUE"""),"Beginner")</f>
        <v>Beginner</v>
      </c>
      <c r="E41" s="139" t="str">
        <f ca="1">IFERROR(__xludf.DUMMYFUNCTION("""COMPUTED_VALUE"""),"Productivity Principles to Make Time for What’s Important")</f>
        <v>Productivity Principles to Make Time for What’s Important</v>
      </c>
      <c r="F41" s="141"/>
      <c r="G41" s="134"/>
      <c r="H41" s="134"/>
      <c r="I41" s="134"/>
      <c r="J41" s="138">
        <f ca="1">IFERROR(__xludf.DUMMYFUNCTION("""COMPUTED_VALUE"""),2805117)</f>
        <v>2805117</v>
      </c>
      <c r="K41" s="138" t="str">
        <f ca="1">IFERROR(__xludf.DUMMYFUNCTION("""COMPUTED_VALUE"""),"General")</f>
        <v>General</v>
      </c>
      <c r="L41" s="139" t="str">
        <f ca="1">IFERROR(__xludf.DUMMYFUNCTION("""COMPUTED_VALUE"""),"Managing Career Burnout")</f>
        <v>Managing Career Burnout</v>
      </c>
      <c r="M41" s="141"/>
      <c r="N41" s="134"/>
      <c r="O41" s="134"/>
      <c r="P41" s="134"/>
      <c r="Q41" s="138">
        <f ca="1">IFERROR(__xludf.DUMMYFUNCTION("""COMPUTED_VALUE"""),718627)</f>
        <v>718627</v>
      </c>
      <c r="R41" s="138" t="str">
        <f ca="1">IFERROR(__xludf.DUMMYFUNCTION("""COMPUTED_VALUE"""),"Intermediate")</f>
        <v>Intermediate</v>
      </c>
      <c r="S41" s="139" t="str">
        <f ca="1">IFERROR(__xludf.DUMMYFUNCTION("""COMPUTED_VALUE"""),"Enhancing Team Innovation")</f>
        <v>Enhancing Team Innovation</v>
      </c>
      <c r="T41" s="141"/>
      <c r="U41" s="134"/>
      <c r="V41" s="134"/>
    </row>
    <row r="42" spans="1:22" ht="33.75" customHeight="1" x14ac:dyDescent="0.15">
      <c r="A42" s="134"/>
      <c r="B42" s="134"/>
      <c r="C42" s="138">
        <f ca="1">IFERROR(__xludf.DUMMYFUNCTION("""COMPUTED_VALUE"""),2822639)</f>
        <v>2822639</v>
      </c>
      <c r="D42" s="138" t="str">
        <f ca="1">IFERROR(__xludf.DUMMYFUNCTION("""COMPUTED_VALUE"""),"Beginner")</f>
        <v>Beginner</v>
      </c>
      <c r="E42" s="139" t="str">
        <f ca="1">IFERROR(__xludf.DUMMYFUNCTION("""COMPUTED_VALUE"""),"Making Big Goals Achievable")</f>
        <v>Making Big Goals Achievable</v>
      </c>
      <c r="F42" s="141"/>
      <c r="G42" s="134"/>
      <c r="H42" s="134"/>
      <c r="I42" s="134"/>
      <c r="J42" s="138">
        <f ca="1">IFERROR(__xludf.DUMMYFUNCTION("""COMPUTED_VALUE"""),2823579)</f>
        <v>2823579</v>
      </c>
      <c r="K42" s="138" t="str">
        <f ca="1">IFERROR(__xludf.DUMMYFUNCTION("""COMPUTED_VALUE"""),"General")</f>
        <v>General</v>
      </c>
      <c r="L42" s="143" t="str">
        <f ca="1">IFERROR(__xludf.DUMMYFUNCTION("""COMPUTED_VALUE"""),"Adaptive Leadership for VUCA Challenges")</f>
        <v>Adaptive Leadership for VUCA Challenges</v>
      </c>
      <c r="M42" s="141"/>
      <c r="N42" s="134"/>
      <c r="O42" s="134"/>
      <c r="P42" s="134"/>
      <c r="Q42" s="138">
        <f ca="1">IFERROR(__xludf.DUMMYFUNCTION("""COMPUTED_VALUE"""),656781)</f>
        <v>656781</v>
      </c>
      <c r="R42" s="138" t="str">
        <f ca="1">IFERROR(__xludf.DUMMYFUNCTION("""COMPUTED_VALUE"""),"Intermediate")</f>
        <v>Intermediate</v>
      </c>
      <c r="S42" s="139" t="str">
        <f ca="1">IFERROR(__xludf.DUMMYFUNCTION("""COMPUTED_VALUE"""),"Facilitation Skills for Managers and Leaders")</f>
        <v>Facilitation Skills for Managers and Leaders</v>
      </c>
      <c r="T42" s="141"/>
      <c r="U42" s="134"/>
      <c r="V42" s="134"/>
    </row>
    <row r="43" spans="1:22" ht="33.75" customHeight="1" x14ac:dyDescent="0.15">
      <c r="A43" s="134"/>
      <c r="B43" s="134"/>
      <c r="C43" s="138">
        <f ca="1">IFERROR(__xludf.DUMMYFUNCTION("""COMPUTED_VALUE"""),2815117)</f>
        <v>2815117</v>
      </c>
      <c r="D43" s="138" t="str">
        <f ca="1">IFERROR(__xludf.DUMMYFUNCTION("""COMPUTED_VALUE"""),"Beginner")</f>
        <v>Beginner</v>
      </c>
      <c r="E43" s="139" t="str">
        <f ca="1">IFERROR(__xludf.DUMMYFUNCTION("""COMPUTED_VALUE"""),"Time Management Tips: Communication")</f>
        <v>Time Management Tips: Communication</v>
      </c>
      <c r="F43" s="141"/>
      <c r="G43" s="134"/>
      <c r="H43" s="134"/>
      <c r="I43" s="134"/>
      <c r="J43" s="138">
        <f ca="1">IFERROR(__xludf.DUMMYFUNCTION("""COMPUTED_VALUE"""),2849188)</f>
        <v>2849188</v>
      </c>
      <c r="K43" s="138" t="str">
        <f ca="1">IFERROR(__xludf.DUMMYFUNCTION("""COMPUTED_VALUE"""),"General")</f>
        <v>General</v>
      </c>
      <c r="L43" s="139" t="str">
        <f ca="1">IFERROR(__xludf.DUMMYFUNCTION("""COMPUTED_VALUE"""),"Working from Home: Strategies for Success")</f>
        <v>Working from Home: Strategies for Success</v>
      </c>
      <c r="M43" s="141"/>
      <c r="N43" s="134"/>
      <c r="O43" s="134"/>
      <c r="P43" s="134"/>
      <c r="Q43" s="138">
        <f ca="1">IFERROR(__xludf.DUMMYFUNCTION("""COMPUTED_VALUE"""),175129)</f>
        <v>175129</v>
      </c>
      <c r="R43" s="138" t="str">
        <f ca="1">IFERROR(__xludf.DUMMYFUNCTION("""COMPUTED_VALUE"""),"Intermediate")</f>
        <v>Intermediate</v>
      </c>
      <c r="S43" s="139" t="str">
        <f ca="1">IFERROR(__xludf.DUMMYFUNCTION("""COMPUTED_VALUE"""),"Leading and Working in Teams")</f>
        <v>Leading and Working in Teams</v>
      </c>
      <c r="T43" s="141"/>
      <c r="U43" s="134"/>
      <c r="V43" s="134"/>
    </row>
    <row r="44" spans="1:22" ht="33.75" customHeight="1" x14ac:dyDescent="0.15">
      <c r="A44" s="134"/>
      <c r="B44" s="134"/>
      <c r="C44" s="138">
        <f ca="1">IFERROR(__xludf.DUMMYFUNCTION("""COMPUTED_VALUE"""),2822310)</f>
        <v>2822310</v>
      </c>
      <c r="D44" s="138" t="str">
        <f ca="1">IFERROR(__xludf.DUMMYFUNCTION("""COMPUTED_VALUE"""),"Beginner")</f>
        <v>Beginner</v>
      </c>
      <c r="E44" s="139" t="str">
        <f ca="1">IFERROR(__xludf.DUMMYFUNCTION("""COMPUTED_VALUE"""),"Subtle Shifts in Thinking for Tremendous Resilience")</f>
        <v>Subtle Shifts in Thinking for Tremendous Resilience</v>
      </c>
      <c r="F44" s="141"/>
      <c r="G44" s="134"/>
      <c r="H44" s="134"/>
      <c r="I44" s="134"/>
      <c r="J44" s="138">
        <f ca="1">IFERROR(__xludf.DUMMYFUNCTION("""COMPUTED_VALUE"""),456826)</f>
        <v>456826</v>
      </c>
      <c r="K44" s="138" t="str">
        <f ca="1">IFERROR(__xludf.DUMMYFUNCTION("""COMPUTED_VALUE"""),"Intermediate")</f>
        <v>Intermediate</v>
      </c>
      <c r="L44" s="139" t="str">
        <f ca="1">IFERROR(__xludf.DUMMYFUNCTION("""COMPUTED_VALUE"""),"Change Management Foundations")</f>
        <v>Change Management Foundations</v>
      </c>
      <c r="M44" s="141"/>
      <c r="N44" s="134"/>
      <c r="O44" s="134"/>
      <c r="P44" s="134"/>
      <c r="Q44" s="138">
        <f ca="1">IFERROR(__xludf.DUMMYFUNCTION("""COMPUTED_VALUE"""),659267)</f>
        <v>659267</v>
      </c>
      <c r="R44" s="138" t="str">
        <f ca="1">IFERROR(__xludf.DUMMYFUNCTION("""COMPUTED_VALUE"""),"Intermediate")</f>
        <v>Intermediate</v>
      </c>
      <c r="S44" s="139" t="str">
        <f ca="1">IFERROR(__xludf.DUMMYFUNCTION("""COMPUTED_VALUE"""),"Managing a Cross-Functional Team")</f>
        <v>Managing a Cross-Functional Team</v>
      </c>
      <c r="T44" s="141"/>
      <c r="U44" s="134"/>
      <c r="V44" s="134"/>
    </row>
    <row r="45" spans="1:22" ht="33.75" customHeight="1" x14ac:dyDescent="0.15">
      <c r="A45" s="134"/>
      <c r="B45" s="134"/>
      <c r="C45" s="138">
        <f ca="1">IFERROR(__xludf.DUMMYFUNCTION("""COMPUTED_VALUE"""),2823512)</f>
        <v>2823512</v>
      </c>
      <c r="D45" s="138" t="str">
        <f ca="1">IFERROR(__xludf.DUMMYFUNCTION("""COMPUTED_VALUE"""),"Beginner")</f>
        <v>Beginner</v>
      </c>
      <c r="E45" s="139" t="str">
        <f ca="1">IFERROR(__xludf.DUMMYFUNCTION("""COMPUTED_VALUE"""),"Productivity: Prioritizing at Work")</f>
        <v>Productivity: Prioritizing at Work</v>
      </c>
      <c r="F45" s="141"/>
      <c r="G45" s="134"/>
      <c r="H45" s="134"/>
      <c r="I45" s="134"/>
      <c r="J45" s="138">
        <f ca="1">IFERROR(__xludf.DUMMYFUNCTION("""COMPUTED_VALUE"""),520220)</f>
        <v>520220</v>
      </c>
      <c r="K45" s="138" t="str">
        <f ca="1">IFERROR(__xludf.DUMMYFUNCTION("""COMPUTED_VALUE"""),"Intermediate")</f>
        <v>Intermediate</v>
      </c>
      <c r="L45" s="139" t="str">
        <f ca="1">IFERROR(__xludf.DUMMYFUNCTION("""COMPUTED_VALUE"""),"Organizational Learning and Development")</f>
        <v>Organizational Learning and Development</v>
      </c>
      <c r="M45" s="141"/>
      <c r="N45" s="134"/>
      <c r="O45" s="134"/>
      <c r="P45" s="134"/>
      <c r="Q45" s="138">
        <f ca="1">IFERROR(__xludf.DUMMYFUNCTION("""COMPUTED_VALUE"""),656779)</f>
        <v>656779</v>
      </c>
      <c r="R45" s="138" t="str">
        <f ca="1">IFERROR(__xludf.DUMMYFUNCTION("""COMPUTED_VALUE"""),"Intermediate")</f>
        <v>Intermediate</v>
      </c>
      <c r="S45" s="139" t="str">
        <f ca="1">IFERROR(__xludf.DUMMYFUNCTION("""COMPUTED_VALUE"""),"Managing a Diverse Team")</f>
        <v>Managing a Diverse Team</v>
      </c>
      <c r="T45" s="141"/>
      <c r="U45" s="134"/>
      <c r="V45" s="134"/>
    </row>
    <row r="46" spans="1:22" ht="33.75" customHeight="1" x14ac:dyDescent="0.15">
      <c r="A46" s="134"/>
      <c r="B46" s="134"/>
      <c r="C46" s="138">
        <f ca="1">IFERROR(__xludf.DUMMYFUNCTION("""COMPUTED_VALUE"""),2822454)</f>
        <v>2822454</v>
      </c>
      <c r="D46" s="138" t="str">
        <f ca="1">IFERROR(__xludf.DUMMYFUNCTION("""COMPUTED_VALUE"""),"Beginner")</f>
        <v>Beginner</v>
      </c>
      <c r="E46" s="139" t="str">
        <f ca="1">IFERROR(__xludf.DUMMYFUNCTION("""COMPUTED_VALUE"""),"Managing Your Energy")</f>
        <v>Managing Your Energy</v>
      </c>
      <c r="F46" s="141"/>
      <c r="G46" s="134"/>
      <c r="H46" s="134"/>
      <c r="I46" s="134"/>
      <c r="J46" s="138">
        <f ca="1">IFERROR(__xludf.DUMMYFUNCTION("""COMPUTED_VALUE"""),580624)</f>
        <v>580624</v>
      </c>
      <c r="K46" s="138" t="str">
        <f ca="1">IFERROR(__xludf.DUMMYFUNCTION("""COMPUTED_VALUE"""),"Intermediate")</f>
        <v>Intermediate</v>
      </c>
      <c r="L46" s="139" t="str">
        <f ca="1">IFERROR(__xludf.DUMMYFUNCTION("""COMPUTED_VALUE"""),"Communicating in Times of Change")</f>
        <v>Communicating in Times of Change</v>
      </c>
      <c r="M46" s="141"/>
      <c r="N46" s="134"/>
      <c r="O46" s="134"/>
      <c r="P46" s="134"/>
      <c r="Q46" s="138">
        <f ca="1">IFERROR(__xludf.DUMMYFUNCTION("""COMPUTED_VALUE"""),681075)</f>
        <v>681075</v>
      </c>
      <c r="R46" s="138" t="str">
        <f ca="1">IFERROR(__xludf.DUMMYFUNCTION("""COMPUTED_VALUE"""),"Intermediate")</f>
        <v>Intermediate</v>
      </c>
      <c r="S46" s="139" t="str">
        <f ca="1">IFERROR(__xludf.DUMMYFUNCTION("""COMPUTED_VALUE"""),"Managing Team Conflict")</f>
        <v>Managing Team Conflict</v>
      </c>
      <c r="T46" s="141"/>
      <c r="U46" s="134"/>
      <c r="V46" s="134"/>
    </row>
    <row r="47" spans="1:22" ht="33.75" customHeight="1" x14ac:dyDescent="0.15">
      <c r="A47" s="134"/>
      <c r="B47" s="134"/>
      <c r="C47" s="138">
        <f ca="1">IFERROR(__xludf.DUMMYFUNCTION("""COMPUTED_VALUE"""),2825479)</f>
        <v>2825479</v>
      </c>
      <c r="D47" s="138" t="str">
        <f ca="1">IFERROR(__xludf.DUMMYFUNCTION("""COMPUTED_VALUE"""),"Beginner")</f>
        <v>Beginner</v>
      </c>
      <c r="E47" s="139" t="str">
        <f ca="1">IFERROR(__xludf.DUMMYFUNCTION("""COMPUTED_VALUE"""),"Building Better Routines")</f>
        <v>Building Better Routines</v>
      </c>
      <c r="F47" s="141"/>
      <c r="G47" s="134"/>
      <c r="H47" s="134"/>
      <c r="I47" s="134"/>
      <c r="J47" s="138">
        <f ca="1">IFERROR(__xludf.DUMMYFUNCTION("""COMPUTED_VALUE"""),622051)</f>
        <v>622051</v>
      </c>
      <c r="K47" s="138" t="str">
        <f ca="1">IFERROR(__xludf.DUMMYFUNCTION("""COMPUTED_VALUE"""),"Intermediate")</f>
        <v>Intermediate</v>
      </c>
      <c r="L47" s="139" t="str">
        <f ca="1">IFERROR(__xludf.DUMMYFUNCTION("""COMPUTED_VALUE"""),"Developing Adaptable Managers")</f>
        <v>Developing Adaptable Managers</v>
      </c>
      <c r="M47" s="142"/>
      <c r="N47" s="134"/>
      <c r="O47" s="134"/>
      <c r="P47" s="134"/>
      <c r="Q47" s="138">
        <f ca="1">IFERROR(__xludf.DUMMYFUNCTION("""COMPUTED_VALUE"""),585227)</f>
        <v>585227</v>
      </c>
      <c r="R47" s="138" t="str">
        <f ca="1">IFERROR(__xludf.DUMMYFUNCTION("""COMPUTED_VALUE"""),"Intermediate")</f>
        <v>Intermediate</v>
      </c>
      <c r="S47" s="139" t="str">
        <f ca="1">IFERROR(__xludf.DUMMYFUNCTION("""COMPUTED_VALUE"""),"Measuring Team Performance")</f>
        <v>Measuring Team Performance</v>
      </c>
      <c r="T47" s="141"/>
      <c r="U47" s="134"/>
      <c r="V47" s="134"/>
    </row>
    <row r="48" spans="1:22" ht="33.75" customHeight="1" x14ac:dyDescent="0.15">
      <c r="A48" s="134"/>
      <c r="B48" s="134"/>
      <c r="C48" s="138">
        <f ca="1">IFERROR(__xludf.DUMMYFUNCTION("""COMPUTED_VALUE"""),2823289)</f>
        <v>2823289</v>
      </c>
      <c r="D48" s="138" t="str">
        <f ca="1">IFERROR(__xludf.DUMMYFUNCTION("""COMPUTED_VALUE"""),"Beginner")</f>
        <v>Beginner</v>
      </c>
      <c r="E48" s="139" t="str">
        <f ca="1">IFERROR(__xludf.DUMMYFUNCTION("""COMPUTED_VALUE"""),"Making Change Last")</f>
        <v>Making Change Last</v>
      </c>
      <c r="F48" s="141"/>
      <c r="G48" s="134"/>
      <c r="H48" s="134"/>
      <c r="I48" s="134"/>
      <c r="J48" s="138">
        <f ca="1">IFERROR(__xludf.DUMMYFUNCTION("""COMPUTED_VALUE"""),636110)</f>
        <v>636110</v>
      </c>
      <c r="K48" s="138" t="str">
        <f ca="1">IFERROR(__xludf.DUMMYFUNCTION("""COMPUTED_VALUE"""),"Intermediate")</f>
        <v>Intermediate</v>
      </c>
      <c r="L48" s="139" t="str">
        <f ca="1">IFERROR(__xludf.DUMMYFUNCTION("""COMPUTED_VALUE"""),"Taking Charge of Technology for Maximum Productivity")</f>
        <v>Taking Charge of Technology for Maximum Productivity</v>
      </c>
      <c r="M48" s="142"/>
      <c r="N48" s="134"/>
      <c r="O48" s="134"/>
      <c r="P48" s="134"/>
      <c r="Q48" s="138">
        <f ca="1">IFERROR(__xludf.DUMMYFUNCTION("""COMPUTED_VALUE"""),656780)</f>
        <v>656780</v>
      </c>
      <c r="R48" s="138" t="str">
        <f ca="1">IFERROR(__xludf.DUMMYFUNCTION("""COMPUTED_VALUE"""),"Intermediate")</f>
        <v>Intermediate</v>
      </c>
      <c r="S48" s="139" t="str">
        <f ca="1">IFERROR(__xludf.DUMMYFUNCTION("""COMPUTED_VALUE"""),"Practicing Fairness as a Manager")</f>
        <v>Practicing Fairness as a Manager</v>
      </c>
      <c r="T48" s="141"/>
      <c r="U48" s="134"/>
      <c r="V48" s="134"/>
    </row>
    <row r="49" spans="1:22" ht="33.75" customHeight="1" x14ac:dyDescent="0.15">
      <c r="A49" s="134"/>
      <c r="B49" s="134"/>
      <c r="C49" s="138">
        <f ca="1">IFERROR(__xludf.DUMMYFUNCTION("""COMPUTED_VALUE"""),2839044)</f>
        <v>2839044</v>
      </c>
      <c r="D49" s="138" t="str">
        <f ca="1">IFERROR(__xludf.DUMMYFUNCTION("""COMPUTED_VALUE"""),"Beginner")</f>
        <v>Beginner</v>
      </c>
      <c r="E49" s="139" t="str">
        <f ca="1">IFERROR(__xludf.DUMMYFUNCTION("""COMPUTED_VALUE"""),"How to Effectively Deliver Criticism")</f>
        <v>How to Effectively Deliver Criticism</v>
      </c>
      <c r="F49" s="141"/>
      <c r="G49" s="134"/>
      <c r="H49" s="134"/>
      <c r="I49" s="134"/>
      <c r="J49" s="138">
        <f ca="1">IFERROR(__xludf.DUMMYFUNCTION("""COMPUTED_VALUE"""),699331)</f>
        <v>699331</v>
      </c>
      <c r="K49" s="138" t="str">
        <f ca="1">IFERROR(__xludf.DUMMYFUNCTION("""COMPUTED_VALUE"""),"Intermediate")</f>
        <v>Intermediate</v>
      </c>
      <c r="L49" s="139" t="str">
        <f ca="1">IFERROR(__xludf.DUMMYFUNCTION("""COMPUTED_VALUE"""),"Adaptive Project Leadership")</f>
        <v>Adaptive Project Leadership</v>
      </c>
      <c r="M49" s="142"/>
      <c r="N49" s="134"/>
      <c r="O49" s="134"/>
      <c r="P49" s="134"/>
      <c r="Q49" s="138">
        <f ca="1">IFERROR(__xludf.DUMMYFUNCTION("""COMPUTED_VALUE"""),2228264)</f>
        <v>2228264</v>
      </c>
      <c r="R49" s="138" t="str">
        <f ca="1">IFERROR(__xludf.DUMMYFUNCTION("""COMPUTED_VALUE"""),"Intermediate")</f>
        <v>Intermediate</v>
      </c>
      <c r="S49" s="139" t="str">
        <f ca="1">IFERROR(__xludf.DUMMYFUNCTION("""COMPUTED_VALUE"""),"Having Career Conversations with Your Team")</f>
        <v>Having Career Conversations with Your Team</v>
      </c>
      <c r="T49" s="141"/>
      <c r="U49" s="134"/>
      <c r="V49" s="134"/>
    </row>
    <row r="50" spans="1:22" ht="33.75" customHeight="1" x14ac:dyDescent="0.15">
      <c r="A50" s="134"/>
      <c r="B50" s="134"/>
      <c r="C50" s="138">
        <f ca="1">IFERROR(__xludf.DUMMYFUNCTION("""COMPUTED_VALUE"""),2870084)</f>
        <v>2870084</v>
      </c>
      <c r="D50" s="138" t="str">
        <f ca="1">IFERROR(__xludf.DUMMYFUNCTION("""COMPUTED_VALUE"""),"Beginner")</f>
        <v>Beginner</v>
      </c>
      <c r="E50" s="139" t="str">
        <f ca="1">IFERROR(__xludf.DUMMYFUNCTION("""COMPUTED_VALUE"""),"Dealing with Disappointment in Your Role")</f>
        <v>Dealing with Disappointment in Your Role</v>
      </c>
      <c r="F50" s="141"/>
      <c r="G50" s="134"/>
      <c r="H50" s="134"/>
      <c r="I50" s="134"/>
      <c r="J50" s="138">
        <f ca="1">IFERROR(__xludf.DUMMYFUNCTION("""COMPUTED_VALUE"""),711796)</f>
        <v>711796</v>
      </c>
      <c r="K50" s="138" t="str">
        <f ca="1">IFERROR(__xludf.DUMMYFUNCTION("""COMPUTED_VALUE"""),"Intermediate")</f>
        <v>Intermediate</v>
      </c>
      <c r="L50" s="139" t="str">
        <f ca="1">IFERROR(__xludf.DUMMYFUNCTION("""COMPUTED_VALUE"""),"Managing Organizational Change for Managers")</f>
        <v>Managing Organizational Change for Managers</v>
      </c>
      <c r="M50" s="142"/>
      <c r="N50" s="134"/>
      <c r="O50" s="134"/>
      <c r="P50" s="134"/>
      <c r="Q50" s="138">
        <f ca="1">IFERROR(__xludf.DUMMYFUNCTION("""COMPUTED_VALUE"""),2822159)</f>
        <v>2822159</v>
      </c>
      <c r="R50" s="138" t="str">
        <f ca="1">IFERROR(__xludf.DUMMYFUNCTION("""COMPUTED_VALUE"""),"Intermediate")</f>
        <v>Intermediate</v>
      </c>
      <c r="S50" s="139" t="str">
        <f ca="1">IFERROR(__xludf.DUMMYFUNCTION("""COMPUTED_VALUE"""),"Managing for Better Ideas")</f>
        <v>Managing for Better Ideas</v>
      </c>
      <c r="T50" s="141"/>
      <c r="U50" s="134"/>
      <c r="V50" s="134"/>
    </row>
    <row r="51" spans="1:22" ht="33.75" customHeight="1" x14ac:dyDescent="0.15">
      <c r="A51" s="134"/>
      <c r="B51" s="134"/>
      <c r="C51" s="138">
        <f ca="1">IFERROR(__xludf.DUMMYFUNCTION("""COMPUTED_VALUE"""),2366891)</f>
        <v>2366891</v>
      </c>
      <c r="D51" s="138" t="str">
        <f ca="1">IFERROR(__xludf.DUMMYFUNCTION("""COMPUTED_VALUE"""),"Beginner")</f>
        <v>Beginner</v>
      </c>
      <c r="E51" s="139" t="str">
        <f ca="1">IFERROR(__xludf.DUMMYFUNCTION("""COMPUTED_VALUE"""),"Unlocking Your Potential")</f>
        <v>Unlocking Your Potential</v>
      </c>
      <c r="F51" s="141"/>
      <c r="G51" s="134"/>
      <c r="H51" s="134"/>
      <c r="I51" s="134"/>
      <c r="J51" s="138">
        <f ca="1">IFERROR(__xludf.DUMMYFUNCTION("""COMPUTED_VALUE"""),753898)</f>
        <v>753898</v>
      </c>
      <c r="K51" s="138" t="str">
        <f ca="1">IFERROR(__xludf.DUMMYFUNCTION("""COMPUTED_VALUE"""),"Intermediate")</f>
        <v>Intermediate</v>
      </c>
      <c r="L51" s="139" t="str">
        <f ca="1">IFERROR(__xludf.DUMMYFUNCTION("""COMPUTED_VALUE"""),"Cultivating Mental Agility")</f>
        <v>Cultivating Mental Agility</v>
      </c>
      <c r="M51" s="142"/>
      <c r="N51" s="134"/>
      <c r="O51" s="134"/>
      <c r="P51" s="134"/>
      <c r="Q51" s="138">
        <f ca="1">IFERROR(__xludf.DUMMYFUNCTION("""COMPUTED_VALUE"""),2825124)</f>
        <v>2825124</v>
      </c>
      <c r="R51" s="138" t="str">
        <f ca="1">IFERROR(__xludf.DUMMYFUNCTION("""COMPUTED_VALUE"""),"Intermediate")</f>
        <v>Intermediate</v>
      </c>
      <c r="S51" s="139" t="str">
        <f ca="1">IFERROR(__xludf.DUMMYFUNCTION("""COMPUTED_VALUE"""),"Building and Managing a High-Performing Sales Team")</f>
        <v>Building and Managing a High-Performing Sales Team</v>
      </c>
      <c r="T51" s="141"/>
      <c r="U51" s="134"/>
      <c r="V51" s="134"/>
    </row>
    <row r="52" spans="1:22" ht="33.75" customHeight="1" x14ac:dyDescent="0.15">
      <c r="A52" s="134"/>
      <c r="B52" s="134"/>
      <c r="C52" s="138">
        <f ca="1">IFERROR(__xludf.DUMMYFUNCTION("""COMPUTED_VALUE"""),2873068)</f>
        <v>2873068</v>
      </c>
      <c r="D52" s="138" t="str">
        <f ca="1">IFERROR(__xludf.DUMMYFUNCTION("""COMPUTED_VALUE"""),"Beginner")</f>
        <v>Beginner</v>
      </c>
      <c r="E52" s="139" t="str">
        <f ca="1">IFERROR(__xludf.DUMMYFUNCTION("""COMPUTED_VALUE"""),"Prioritizing Tasks for Maximum Impact")</f>
        <v>Prioritizing Tasks for Maximum Impact</v>
      </c>
      <c r="F52" s="141"/>
      <c r="G52" s="134"/>
      <c r="H52" s="134"/>
      <c r="I52" s="134"/>
      <c r="J52" s="138">
        <f ca="1">IFERROR(__xludf.DUMMYFUNCTION("""COMPUTED_VALUE"""),753899)</f>
        <v>753899</v>
      </c>
      <c r="K52" s="138" t="str">
        <f ca="1">IFERROR(__xludf.DUMMYFUNCTION("""COMPUTED_VALUE"""),"Intermediate")</f>
        <v>Intermediate</v>
      </c>
      <c r="L52" s="139" t="str">
        <f ca="1">IFERROR(__xludf.DUMMYFUNCTION("""COMPUTED_VALUE"""),"Developing Adaptability as a Manager")</f>
        <v>Developing Adaptability as a Manager</v>
      </c>
      <c r="M52" s="142"/>
      <c r="N52" s="134"/>
      <c r="O52" s="134"/>
      <c r="P52" s="134"/>
      <c r="Q52" s="138">
        <f ca="1">IFERROR(__xludf.DUMMYFUNCTION("""COMPUTED_VALUE"""),2820016)</f>
        <v>2820016</v>
      </c>
      <c r="R52" s="138" t="str">
        <f ca="1">IFERROR(__xludf.DUMMYFUNCTION("""COMPUTED_VALUE"""),"Intermediate")</f>
        <v>Intermediate</v>
      </c>
      <c r="S52" s="139" t="str">
        <f ca="1">IFERROR(__xludf.DUMMYFUNCTION("""COMPUTED_VALUE"""),"Succeeding as a First-Time Tech Manager")</f>
        <v>Succeeding as a First-Time Tech Manager</v>
      </c>
      <c r="T52" s="141"/>
      <c r="U52" s="134"/>
      <c r="V52" s="134"/>
    </row>
    <row r="53" spans="1:22" ht="33.75" customHeight="1" x14ac:dyDescent="0.15">
      <c r="A53" s="134"/>
      <c r="B53" s="134"/>
      <c r="C53" s="138">
        <f ca="1">IFERROR(__xludf.DUMMYFUNCTION("""COMPUTED_VALUE"""),2873073)</f>
        <v>2873073</v>
      </c>
      <c r="D53" s="138" t="str">
        <f ca="1">IFERROR(__xludf.DUMMYFUNCTION("""COMPUTED_VALUE"""),"Beginner")</f>
        <v>Beginner</v>
      </c>
      <c r="E53" s="139" t="str">
        <f ca="1">IFERROR(__xludf.DUMMYFUNCTION("""COMPUTED_VALUE"""),"Doubling Your Productivity")</f>
        <v>Doubling Your Productivity</v>
      </c>
      <c r="F53" s="141"/>
      <c r="G53" s="134"/>
      <c r="H53" s="134"/>
      <c r="I53" s="134"/>
      <c r="J53" s="138">
        <f ca="1">IFERROR(__xludf.DUMMYFUNCTION("""COMPUTED_VALUE"""),794117)</f>
        <v>794117</v>
      </c>
      <c r="K53" s="138" t="str">
        <f ca="1">IFERROR(__xludf.DUMMYFUNCTION("""COMPUTED_VALUE"""),"Intermediate")</f>
        <v>Intermediate</v>
      </c>
      <c r="L53" s="139" t="str">
        <f ca="1">IFERROR(__xludf.DUMMYFUNCTION("""COMPUTED_VALUE"""),"Your L&amp;D Organization as a Competitive Advantage")</f>
        <v>Your L&amp;D Organization as a Competitive Advantage</v>
      </c>
      <c r="M53" s="142"/>
      <c r="N53" s="134"/>
      <c r="O53" s="134"/>
      <c r="P53" s="134"/>
      <c r="Q53" s="138">
        <f ca="1">IFERROR(__xludf.DUMMYFUNCTION("""COMPUTED_VALUE"""),2836032)</f>
        <v>2836032</v>
      </c>
      <c r="R53" s="138" t="str">
        <f ca="1">IFERROR(__xludf.DUMMYFUNCTION("""COMPUTED_VALUE"""),"Intermediate")</f>
        <v>Intermediate</v>
      </c>
      <c r="S53" s="139" t="str">
        <f ca="1">IFERROR(__xludf.DUMMYFUNCTION("""COMPUTED_VALUE"""),"The Surprising Science of Meetings (getAbstract Summary)")</f>
        <v>The Surprising Science of Meetings (getAbstract Summary)</v>
      </c>
      <c r="T53" s="141"/>
      <c r="U53" s="134"/>
      <c r="V53" s="134"/>
    </row>
    <row r="54" spans="1:22" ht="33.75" customHeight="1" x14ac:dyDescent="0.15">
      <c r="A54" s="134"/>
      <c r="B54" s="134"/>
      <c r="C54" s="138">
        <f ca="1">IFERROR(__xludf.DUMMYFUNCTION("""COMPUTED_VALUE"""),2874006)</f>
        <v>2874006</v>
      </c>
      <c r="D54" s="138" t="str">
        <f ca="1">IFERROR(__xludf.DUMMYFUNCTION("""COMPUTED_VALUE"""),"Beginner")</f>
        <v>Beginner</v>
      </c>
      <c r="E54" s="139" t="str">
        <f ca="1">IFERROR(__xludf.DUMMYFUNCTION("""COMPUTED_VALUE"""),"The Five Conversations That Deliver Accountability and Performance")</f>
        <v>The Five Conversations That Deliver Accountability and Performance</v>
      </c>
      <c r="F54" s="141"/>
      <c r="G54" s="134"/>
      <c r="H54" s="134"/>
      <c r="I54" s="134"/>
      <c r="J54" s="138">
        <f ca="1">IFERROR(__xludf.DUMMYFUNCTION("""COMPUTED_VALUE"""),2802464)</f>
        <v>2802464</v>
      </c>
      <c r="K54" s="138" t="str">
        <f ca="1">IFERROR(__xludf.DUMMYFUNCTION("""COMPUTED_VALUE"""),"Intermediate")</f>
        <v>Intermediate</v>
      </c>
      <c r="L54" s="139" t="str">
        <f ca="1">IFERROR(__xludf.DUMMYFUNCTION("""COMPUTED_VALUE"""),"Leaders: Make Your Teams More Agile, Creative, and United")</f>
        <v>Leaders: Make Your Teams More Agile, Creative, and United</v>
      </c>
      <c r="M54" s="142"/>
      <c r="N54" s="134"/>
      <c r="O54" s="134"/>
      <c r="P54" s="134"/>
      <c r="Q54" s="138">
        <f ca="1">IFERROR(__xludf.DUMMYFUNCTION("""COMPUTED_VALUE"""),2972406)</f>
        <v>2972406</v>
      </c>
      <c r="R54" s="138" t="str">
        <f ca="1">IFERROR(__xludf.DUMMYFUNCTION("""COMPUTED_VALUE"""),"Intermediate")</f>
        <v>Intermediate</v>
      </c>
      <c r="S54" s="139" t="str">
        <f ca="1">IFERROR(__xludf.DUMMYFUNCTION("""COMPUTED_VALUE"""),"Creating Winning Teams")</f>
        <v>Creating Winning Teams</v>
      </c>
      <c r="T54" s="141"/>
      <c r="U54" s="134"/>
      <c r="V54" s="134"/>
    </row>
    <row r="55" spans="1:22" ht="33.75" customHeight="1" x14ac:dyDescent="0.15">
      <c r="A55" s="134"/>
      <c r="B55" s="134"/>
      <c r="C55" s="138">
        <f ca="1">IFERROR(__xludf.DUMMYFUNCTION("""COMPUTED_VALUE"""),2875042)</f>
        <v>2875042</v>
      </c>
      <c r="D55" s="138" t="str">
        <f ca="1">IFERROR(__xludf.DUMMYFUNCTION("""COMPUTED_VALUE"""),"Beginner")</f>
        <v>Beginner</v>
      </c>
      <c r="E55" s="139" t="str">
        <f ca="1">IFERROR(__xludf.DUMMYFUNCTION("""COMPUTED_VALUE"""),"Time Management for Busy People")</f>
        <v>Time Management for Busy People</v>
      </c>
      <c r="F55" s="141"/>
      <c r="G55" s="134"/>
      <c r="H55" s="134"/>
      <c r="I55" s="134"/>
      <c r="J55" s="138">
        <f ca="1">IFERROR(__xludf.DUMMYFUNCTION("""COMPUTED_VALUE"""),5022327)</f>
        <v>5022327</v>
      </c>
      <c r="K55" s="138" t="str">
        <f ca="1">IFERROR(__xludf.DUMMYFUNCTION("""COMPUTED_VALUE"""),"Intermediate")</f>
        <v>Intermediate</v>
      </c>
      <c r="L55" s="139" t="str">
        <f ca="1">IFERROR(__xludf.DUMMYFUNCTION("""COMPUTED_VALUE"""),"Leading Your Team Through Change")</f>
        <v>Leading Your Team Through Change</v>
      </c>
      <c r="M55" s="142"/>
      <c r="N55" s="134"/>
      <c r="O55" s="134"/>
      <c r="P55" s="134"/>
      <c r="Q55" s="138">
        <f ca="1">IFERROR(__xludf.DUMMYFUNCTION("""COMPUTED_VALUE"""),2974330)</f>
        <v>2974330</v>
      </c>
      <c r="R55" s="138" t="str">
        <f ca="1">IFERROR(__xludf.DUMMYFUNCTION("""COMPUTED_VALUE"""),"Intermediate")</f>
        <v>Intermediate</v>
      </c>
      <c r="S55" s="139" t="str">
        <f ca="1">IFERROR(__xludf.DUMMYFUNCTION("""COMPUTED_VALUE"""),"Creating an Adaptable Team")</f>
        <v>Creating an Adaptable Team</v>
      </c>
      <c r="T55" s="141"/>
      <c r="U55" s="134"/>
      <c r="V55" s="134"/>
    </row>
    <row r="56" spans="1:22" ht="33.75" customHeight="1" x14ac:dyDescent="0.15">
      <c r="A56" s="134"/>
      <c r="B56" s="134"/>
      <c r="C56" s="138">
        <f ca="1">IFERROR(__xludf.DUMMYFUNCTION("""COMPUTED_VALUE"""),2875043)</f>
        <v>2875043</v>
      </c>
      <c r="D56" s="138" t="str">
        <f ca="1">IFERROR(__xludf.DUMMYFUNCTION("""COMPUTED_VALUE"""),"Beginner")</f>
        <v>Beginner</v>
      </c>
      <c r="E56" s="139" t="str">
        <f ca="1">IFERROR(__xludf.DUMMYFUNCTION("""COMPUTED_VALUE"""),"How to Organize Your Time and Your Life")</f>
        <v>How to Organize Your Time and Your Life</v>
      </c>
      <c r="F56" s="141"/>
      <c r="G56" s="134"/>
      <c r="H56" s="134"/>
      <c r="I56" s="134"/>
      <c r="J56" s="138"/>
      <c r="K56" s="138"/>
      <c r="L56" s="143"/>
      <c r="M56" s="142"/>
      <c r="N56" s="134"/>
      <c r="O56" s="134"/>
      <c r="P56" s="134"/>
      <c r="Q56" s="138">
        <f ca="1">IFERROR(__xludf.DUMMYFUNCTION("""COMPUTED_VALUE"""),2975167)</f>
        <v>2975167</v>
      </c>
      <c r="R56" s="138" t="str">
        <f ca="1">IFERROR(__xludf.DUMMYFUNCTION("""COMPUTED_VALUE"""),"Intermediate")</f>
        <v>Intermediate</v>
      </c>
      <c r="S56" s="139" t="str">
        <f ca="1">IFERROR(__xludf.DUMMYFUNCTION("""COMPUTED_VALUE"""),"Leading a Customer Service Team")</f>
        <v>Leading a Customer Service Team</v>
      </c>
      <c r="T56" s="141"/>
      <c r="U56" s="134"/>
      <c r="V56" s="134"/>
    </row>
    <row r="57" spans="1:22" ht="33.75" customHeight="1" x14ac:dyDescent="0.15">
      <c r="A57" s="134"/>
      <c r="B57" s="134"/>
      <c r="C57" s="138">
        <f ca="1">IFERROR(__xludf.DUMMYFUNCTION("""COMPUTED_VALUE"""),2822030)</f>
        <v>2822030</v>
      </c>
      <c r="D57" s="138" t="str">
        <f ca="1">IFERROR(__xludf.DUMMYFUNCTION("""COMPUTED_VALUE"""),"Beginner")</f>
        <v>Beginner</v>
      </c>
      <c r="E57" s="139" t="str">
        <f ca="1">IFERROR(__xludf.DUMMYFUNCTION("""COMPUTED_VALUE"""),"Components of Effective Learning")</f>
        <v>Components of Effective Learning</v>
      </c>
      <c r="F57" s="141"/>
      <c r="G57" s="134"/>
      <c r="H57" s="134"/>
      <c r="I57" s="134"/>
      <c r="J57" s="138"/>
      <c r="K57" s="138"/>
      <c r="L57" s="143"/>
      <c r="M57" s="142"/>
      <c r="N57" s="134"/>
      <c r="O57" s="134"/>
      <c r="P57" s="134"/>
      <c r="Q57" s="138"/>
      <c r="R57" s="138"/>
      <c r="S57" s="143"/>
      <c r="T57" s="141"/>
      <c r="U57" s="134"/>
      <c r="V57" s="134"/>
    </row>
    <row r="58" spans="1:22" ht="33.75" customHeight="1" x14ac:dyDescent="0.15">
      <c r="A58" s="134"/>
      <c r="B58" s="134"/>
      <c r="C58" s="138">
        <f ca="1">IFERROR(__xludf.DUMMYFUNCTION("""COMPUTED_VALUE"""),2822392)</f>
        <v>2822392</v>
      </c>
      <c r="D58" s="138" t="str">
        <f ca="1">IFERROR(__xludf.DUMMYFUNCTION("""COMPUTED_VALUE"""),"Beginner + Intermediate")</f>
        <v>Beginner + Intermediate</v>
      </c>
      <c r="E58" s="139" t="str">
        <f ca="1">IFERROR(__xludf.DUMMYFUNCTION("""COMPUTED_VALUE"""),"Mixtape: Learning Highlights on Personal Effectiveness")</f>
        <v>Mixtape: Learning Highlights on Personal Effectiveness</v>
      </c>
      <c r="F58" s="141"/>
      <c r="G58" s="134"/>
      <c r="H58" s="134"/>
      <c r="I58" s="134"/>
      <c r="J58" s="138"/>
      <c r="K58" s="138"/>
      <c r="L58" s="143"/>
      <c r="M58" s="142"/>
      <c r="N58" s="134"/>
      <c r="O58" s="134"/>
      <c r="P58" s="134"/>
      <c r="Q58" s="138"/>
      <c r="R58" s="138"/>
      <c r="S58" s="143"/>
      <c r="T58" s="141"/>
      <c r="U58" s="134"/>
      <c r="V58" s="134"/>
    </row>
    <row r="59" spans="1:22" ht="33.75" customHeight="1" x14ac:dyDescent="0.15">
      <c r="A59" s="134"/>
      <c r="B59" s="134"/>
      <c r="C59" s="138">
        <f ca="1">IFERROR(__xludf.DUMMYFUNCTION("""COMPUTED_VALUE"""),2825161)</f>
        <v>2825161</v>
      </c>
      <c r="D59" s="138" t="str">
        <f ca="1">IFERROR(__xludf.DUMMYFUNCTION("""COMPUTED_VALUE"""),"Beginner + Intermediate")</f>
        <v>Beginner + Intermediate</v>
      </c>
      <c r="E59" s="139" t="str">
        <f ca="1">IFERROR(__xludf.DUMMYFUNCTION("""COMPUTED_VALUE"""),"Goal Setting: Objectives and Key Results (OKRs)")</f>
        <v>Goal Setting: Objectives and Key Results (OKRs)</v>
      </c>
      <c r="F59" s="141"/>
      <c r="G59" s="134"/>
      <c r="H59" s="134"/>
      <c r="I59" s="134"/>
      <c r="J59" s="138"/>
      <c r="K59" s="138"/>
      <c r="L59" s="143"/>
      <c r="M59" s="142"/>
      <c r="N59" s="134"/>
      <c r="O59" s="134"/>
      <c r="P59" s="134"/>
      <c r="Q59" s="138"/>
      <c r="R59" s="138"/>
      <c r="S59" s="143"/>
      <c r="T59" s="141"/>
      <c r="U59" s="134"/>
      <c r="V59" s="134"/>
    </row>
    <row r="60" spans="1:22" ht="33.75" customHeight="1" x14ac:dyDescent="0.15">
      <c r="A60" s="134"/>
      <c r="B60" s="134"/>
      <c r="C60" s="138">
        <f ca="1">IFERROR(__xludf.DUMMYFUNCTION("""COMPUTED_VALUE"""),580626)</f>
        <v>580626</v>
      </c>
      <c r="D60" s="138" t="str">
        <f ca="1">IFERROR(__xludf.DUMMYFUNCTION("""COMPUTED_VALUE"""),"Beginner + Intermediate")</f>
        <v>Beginner + Intermediate</v>
      </c>
      <c r="E60" s="139" t="str">
        <f ca="1">IFERROR(__xludf.DUMMYFUNCTION("""COMPUTED_VALUE"""),"Personal Effectiveness Tips")</f>
        <v>Personal Effectiveness Tips</v>
      </c>
      <c r="F60" s="141"/>
      <c r="G60" s="134"/>
      <c r="H60" s="134"/>
      <c r="I60" s="134"/>
      <c r="J60" s="138"/>
      <c r="K60" s="138"/>
      <c r="L60" s="143"/>
      <c r="M60" s="142"/>
      <c r="N60" s="134"/>
      <c r="O60" s="134"/>
      <c r="P60" s="134"/>
      <c r="Q60" s="138"/>
      <c r="R60" s="138"/>
      <c r="S60" s="143"/>
      <c r="T60" s="141"/>
      <c r="U60" s="134"/>
      <c r="V60" s="134"/>
    </row>
    <row r="61" spans="1:22" ht="33.75" customHeight="1" x14ac:dyDescent="0.15">
      <c r="A61" s="134"/>
      <c r="B61" s="134"/>
      <c r="C61" s="138">
        <f ca="1">IFERROR(__xludf.DUMMYFUNCTION("""COMPUTED_VALUE"""),387349)</f>
        <v>387349</v>
      </c>
      <c r="D61" s="138" t="str">
        <f ca="1">IFERROR(__xludf.DUMMYFUNCTION("""COMPUTED_VALUE"""),"Beginner + Intermediate")</f>
        <v>Beginner + Intermediate</v>
      </c>
      <c r="E61" s="139" t="str">
        <f ca="1">IFERROR(__xludf.DUMMYFUNCTION("""COMPUTED_VALUE"""),"Powerless to Powerful: Taking Control")</f>
        <v>Powerless to Powerful: Taking Control</v>
      </c>
      <c r="F61" s="141"/>
      <c r="G61" s="134"/>
      <c r="H61" s="134"/>
      <c r="I61" s="134"/>
      <c r="J61" s="138"/>
      <c r="K61" s="138"/>
      <c r="L61" s="143"/>
      <c r="M61" s="142"/>
      <c r="N61" s="134"/>
      <c r="O61" s="134"/>
      <c r="P61" s="134"/>
      <c r="Q61" s="138"/>
      <c r="R61" s="138"/>
      <c r="S61" s="143"/>
      <c r="T61" s="141"/>
      <c r="U61" s="134"/>
      <c r="V61" s="134"/>
    </row>
    <row r="62" spans="1:22" ht="33.75" customHeight="1" x14ac:dyDescent="0.15">
      <c r="A62" s="134"/>
      <c r="B62" s="134"/>
      <c r="C62" s="138">
        <f ca="1">IFERROR(__xludf.DUMMYFUNCTION("""COMPUTED_VALUE"""),737763)</f>
        <v>737763</v>
      </c>
      <c r="D62" s="138" t="str">
        <f ca="1">IFERROR(__xludf.DUMMYFUNCTION("""COMPUTED_VALUE"""),"Beginner + Intermediate")</f>
        <v>Beginner + Intermediate</v>
      </c>
      <c r="E62" s="139" t="str">
        <f ca="1">IFERROR(__xludf.DUMMYFUNCTION("""COMPUTED_VALUE"""),"Prioritizing Your Tasks")</f>
        <v>Prioritizing Your Tasks</v>
      </c>
      <c r="F62" s="141"/>
      <c r="G62" s="134"/>
      <c r="H62" s="134"/>
      <c r="I62" s="134"/>
      <c r="J62" s="138"/>
      <c r="K62" s="138"/>
      <c r="L62" s="143"/>
      <c r="M62" s="142"/>
      <c r="N62" s="134"/>
      <c r="O62" s="134"/>
      <c r="P62" s="134"/>
      <c r="Q62" s="138"/>
      <c r="R62" s="138"/>
      <c r="S62" s="143"/>
      <c r="T62" s="141"/>
      <c r="U62" s="134"/>
      <c r="V62" s="134"/>
    </row>
    <row r="63" spans="1:22" ht="33.75" customHeight="1" x14ac:dyDescent="0.15">
      <c r="A63" s="134"/>
      <c r="B63" s="134"/>
      <c r="C63" s="138">
        <f ca="1">IFERROR(__xludf.DUMMYFUNCTION("""COMPUTED_VALUE"""),5010646)</f>
        <v>5010646</v>
      </c>
      <c r="D63" s="138" t="str">
        <f ca="1">IFERROR(__xludf.DUMMYFUNCTION("""COMPUTED_VALUE"""),"Intermediate")</f>
        <v>Intermediate</v>
      </c>
      <c r="E63" s="139" t="str">
        <f ca="1">IFERROR(__xludf.DUMMYFUNCTION("""COMPUTED_VALUE"""),"Building Resilience as a Leader")</f>
        <v>Building Resilience as a Leader</v>
      </c>
      <c r="F63" s="141"/>
      <c r="G63" s="134"/>
      <c r="H63" s="134"/>
      <c r="I63" s="134"/>
      <c r="J63" s="138"/>
      <c r="K63" s="138"/>
      <c r="L63" s="143"/>
      <c r="M63" s="142"/>
      <c r="N63" s="134"/>
      <c r="O63" s="134"/>
      <c r="P63" s="134"/>
      <c r="Q63" s="138"/>
      <c r="R63" s="138"/>
      <c r="S63" s="143"/>
      <c r="T63" s="141"/>
      <c r="U63" s="134"/>
      <c r="V63" s="134"/>
    </row>
    <row r="64" spans="1:22" ht="33.75" customHeight="1" x14ac:dyDescent="0.15">
      <c r="A64" s="134"/>
      <c r="B64" s="134"/>
      <c r="C64" s="138">
        <f ca="1">IFERROR(__xludf.DUMMYFUNCTION("""COMPUTED_VALUE"""),2802468)</f>
        <v>2802468</v>
      </c>
      <c r="D64" s="138" t="str">
        <f ca="1">IFERROR(__xludf.DUMMYFUNCTION("""COMPUTED_VALUE"""),"Intermediate")</f>
        <v>Intermediate</v>
      </c>
      <c r="E64" s="139" t="str">
        <f ca="1">IFERROR(__xludf.DUMMYFUNCTION("""COMPUTED_VALUE"""),"Time-Tested Methods for Making Complex Decisions")</f>
        <v>Time-Tested Methods for Making Complex Decisions</v>
      </c>
      <c r="F64" s="141"/>
      <c r="G64" s="134"/>
      <c r="H64" s="134"/>
      <c r="I64" s="134"/>
      <c r="J64" s="138"/>
      <c r="K64" s="138"/>
      <c r="L64" s="143"/>
      <c r="M64" s="142"/>
      <c r="N64" s="134"/>
      <c r="O64" s="134"/>
      <c r="P64" s="134"/>
      <c r="Q64" s="138"/>
      <c r="R64" s="138"/>
      <c r="S64" s="143"/>
      <c r="T64" s="141"/>
      <c r="U64" s="134"/>
      <c r="V64" s="134"/>
    </row>
    <row r="65" spans="1:22" ht="33.75" customHeight="1" x14ac:dyDescent="0.15">
      <c r="A65" s="134"/>
      <c r="B65" s="134"/>
      <c r="C65" s="138">
        <f ca="1">IFERROR(__xludf.DUMMYFUNCTION("""COMPUTED_VALUE"""),2825260)</f>
        <v>2825260</v>
      </c>
      <c r="D65" s="138" t="str">
        <f ca="1">IFERROR(__xludf.DUMMYFUNCTION("""COMPUTED_VALUE"""),"Intermediate")</f>
        <v>Intermediate</v>
      </c>
      <c r="E65" s="139" t="str">
        <f ca="1">IFERROR(__xludf.DUMMYFUNCTION("""COMPUTED_VALUE"""),"Holding Your Team Accountable")</f>
        <v>Holding Your Team Accountable</v>
      </c>
      <c r="F65" s="141"/>
      <c r="G65" s="134"/>
      <c r="H65" s="134"/>
      <c r="I65" s="134"/>
      <c r="J65" s="138"/>
      <c r="K65" s="138"/>
      <c r="L65" s="143"/>
      <c r="M65" s="142"/>
      <c r="N65" s="134"/>
      <c r="O65" s="134"/>
      <c r="P65" s="134"/>
      <c r="Q65" s="138"/>
      <c r="R65" s="138"/>
      <c r="S65" s="143"/>
      <c r="T65" s="141"/>
      <c r="U65" s="134"/>
      <c r="V65" s="134"/>
    </row>
    <row r="66" spans="1:22" ht="33.75" customHeight="1" x14ac:dyDescent="0.15">
      <c r="A66" s="134"/>
      <c r="B66" s="134"/>
      <c r="C66" s="138">
        <f ca="1">IFERROR(__xludf.DUMMYFUNCTION("""COMPUTED_VALUE"""),564551)</f>
        <v>564551</v>
      </c>
      <c r="D66" s="138" t="str">
        <f ca="1">IFERROR(__xludf.DUMMYFUNCTION("""COMPUTED_VALUE"""),"Intermediate")</f>
        <v>Intermediate</v>
      </c>
      <c r="E66" s="139" t="str">
        <f ca="1">IFERROR(__xludf.DUMMYFUNCTION("""COMPUTED_VALUE"""),"Time Management for Managers")</f>
        <v>Time Management for Managers</v>
      </c>
      <c r="F66" s="141"/>
      <c r="G66" s="134"/>
      <c r="H66" s="134"/>
      <c r="I66" s="134"/>
      <c r="J66" s="138"/>
      <c r="K66" s="138"/>
      <c r="L66" s="143"/>
      <c r="M66" s="142"/>
      <c r="N66" s="134"/>
      <c r="O66" s="134"/>
      <c r="P66" s="134"/>
      <c r="Q66" s="138"/>
      <c r="R66" s="138"/>
      <c r="S66" s="143"/>
      <c r="T66" s="141"/>
      <c r="U66" s="134"/>
      <c r="V66" s="134"/>
    </row>
    <row r="67" spans="1:22" ht="33.75" customHeight="1" x14ac:dyDescent="0.15">
      <c r="A67" s="134"/>
      <c r="B67" s="134"/>
      <c r="C67" s="138">
        <f ca="1">IFERROR(__xludf.DUMMYFUNCTION("""COMPUTED_VALUE"""),2822683)</f>
        <v>2822683</v>
      </c>
      <c r="D67" s="138" t="str">
        <f ca="1">IFERROR(__xludf.DUMMYFUNCTION("""COMPUTED_VALUE"""),"Intermediate")</f>
        <v>Intermediate</v>
      </c>
      <c r="E67" s="139" t="str">
        <f ca="1">IFERROR(__xludf.DUMMYFUNCTION("""COMPUTED_VALUE"""),"Demonstrating Accountabilty as a Leader")</f>
        <v>Demonstrating Accountabilty as a Leader</v>
      </c>
      <c r="F67" s="141"/>
      <c r="G67" s="134"/>
      <c r="H67" s="134"/>
      <c r="I67" s="134"/>
      <c r="J67" s="138"/>
      <c r="K67" s="138"/>
      <c r="L67" s="143"/>
      <c r="M67" s="142"/>
      <c r="N67" s="134"/>
      <c r="O67" s="134"/>
      <c r="P67" s="134"/>
      <c r="Q67" s="138"/>
      <c r="R67" s="138"/>
      <c r="S67" s="143"/>
      <c r="T67" s="141"/>
      <c r="U67" s="134"/>
      <c r="V67" s="134"/>
    </row>
    <row r="68" spans="1:22" ht="33.75" customHeight="1" x14ac:dyDescent="0.15">
      <c r="A68" s="134"/>
      <c r="B68" s="134"/>
      <c r="C68" s="138">
        <f ca="1">IFERROR(__xludf.DUMMYFUNCTION("""COMPUTED_VALUE"""),184923)</f>
        <v>184923</v>
      </c>
      <c r="D68" s="138" t="str">
        <f ca="1">IFERROR(__xludf.DUMMYFUNCTION("""COMPUTED_VALUE"""),"Intermediate")</f>
        <v>Intermediate</v>
      </c>
      <c r="E68" s="139" t="str">
        <f ca="1">IFERROR(__xludf.DUMMYFUNCTION("""COMPUTED_VALUE"""),"Building Accountability Into Your Culture")</f>
        <v>Building Accountability Into Your Culture</v>
      </c>
      <c r="F68" s="141"/>
      <c r="G68" s="134"/>
      <c r="H68" s="134"/>
      <c r="I68" s="134"/>
      <c r="J68" s="138"/>
      <c r="K68" s="138"/>
      <c r="L68" s="143"/>
      <c r="M68" s="142"/>
      <c r="N68" s="134"/>
      <c r="O68" s="134"/>
      <c r="P68" s="134"/>
      <c r="Q68" s="138"/>
      <c r="R68" s="138"/>
      <c r="S68" s="143"/>
      <c r="T68" s="141"/>
      <c r="U68" s="134"/>
      <c r="V68" s="134"/>
    </row>
    <row r="69" spans="1:22" ht="33.75" customHeight="1" x14ac:dyDescent="0.15">
      <c r="A69" s="134"/>
      <c r="B69" s="134"/>
      <c r="C69" s="138">
        <f ca="1">IFERROR(__xludf.DUMMYFUNCTION("""COMPUTED_VALUE"""),2849034)</f>
        <v>2849034</v>
      </c>
      <c r="D69" s="138" t="str">
        <f ca="1">IFERROR(__xludf.DUMMYFUNCTION("""COMPUTED_VALUE"""),"Intermediate")</f>
        <v>Intermediate</v>
      </c>
      <c r="E69" s="139" t="str">
        <f ca="1">IFERROR(__xludf.DUMMYFUNCTION("""COMPUTED_VALUE"""),"Using Microsoft Teams and Outlook Together: Maximizing Productivity")</f>
        <v>Using Microsoft Teams and Outlook Together: Maximizing Productivity</v>
      </c>
      <c r="F69" s="141"/>
      <c r="G69" s="134"/>
      <c r="H69" s="134"/>
      <c r="I69" s="134"/>
      <c r="J69" s="138"/>
      <c r="K69" s="138"/>
      <c r="L69" s="143"/>
      <c r="M69" s="142"/>
      <c r="N69" s="134"/>
      <c r="O69" s="134"/>
      <c r="P69" s="134"/>
      <c r="Q69" s="138"/>
      <c r="R69" s="138"/>
      <c r="S69" s="143"/>
      <c r="T69" s="141"/>
      <c r="U69" s="134"/>
      <c r="V69" s="134"/>
    </row>
    <row r="70" spans="1:22" ht="33.75" customHeight="1" x14ac:dyDescent="0.15">
      <c r="A70" s="134"/>
      <c r="B70" s="134"/>
      <c r="C70" s="138">
        <f ca="1">IFERROR(__xludf.DUMMYFUNCTION("""COMPUTED_VALUE"""),2242041)</f>
        <v>2242041</v>
      </c>
      <c r="D70" s="138" t="str">
        <f ca="1">IFERROR(__xludf.DUMMYFUNCTION("""COMPUTED_VALUE"""),"General")</f>
        <v>General</v>
      </c>
      <c r="E70" s="139" t="str">
        <f ca="1">IFERROR(__xludf.DUMMYFUNCTION("""COMPUTED_VALUE"""),"Stepping Up: How Taking Responsibility Changes Everything (getAbstract Summary)")</f>
        <v>Stepping Up: How Taking Responsibility Changes Everything (getAbstract Summary)</v>
      </c>
      <c r="F70" s="141"/>
      <c r="G70" s="134"/>
      <c r="H70" s="134"/>
      <c r="I70" s="134"/>
      <c r="J70" s="138"/>
      <c r="K70" s="138"/>
      <c r="L70" s="143"/>
      <c r="M70" s="142"/>
      <c r="N70" s="134"/>
      <c r="O70" s="134"/>
      <c r="P70" s="134"/>
      <c r="Q70" s="138"/>
      <c r="R70" s="138"/>
      <c r="S70" s="143"/>
      <c r="T70" s="141"/>
      <c r="U70" s="134"/>
      <c r="V70" s="134"/>
    </row>
    <row r="71" spans="1:22" ht="33.75" customHeight="1" x14ac:dyDescent="0.15">
      <c r="A71" s="134"/>
      <c r="B71" s="134"/>
      <c r="C71" s="138">
        <f ca="1">IFERROR(__xludf.DUMMYFUNCTION("""COMPUTED_VALUE"""),2244042)</f>
        <v>2244042</v>
      </c>
      <c r="D71" s="138" t="str">
        <f ca="1">IFERROR(__xludf.DUMMYFUNCTION("""COMPUTED_VALUE"""),"General")</f>
        <v>General</v>
      </c>
      <c r="E71" s="139" t="str">
        <f ca="1">IFERROR(__xludf.DUMMYFUNCTION("""COMPUTED_VALUE"""),"The Rules of Work (getAbstract Summary)")</f>
        <v>The Rules of Work (getAbstract Summary)</v>
      </c>
      <c r="F71" s="141"/>
      <c r="G71" s="134"/>
      <c r="H71" s="134"/>
      <c r="I71" s="134"/>
      <c r="J71" s="138"/>
      <c r="K71" s="138"/>
      <c r="L71" s="143"/>
      <c r="M71" s="142"/>
      <c r="N71" s="134"/>
      <c r="O71" s="134"/>
      <c r="P71" s="134"/>
      <c r="Q71" s="138"/>
      <c r="R71" s="138"/>
      <c r="S71" s="143"/>
      <c r="T71" s="141"/>
      <c r="U71" s="134"/>
      <c r="V71" s="134"/>
    </row>
    <row r="72" spans="1:22" ht="33.75" customHeight="1" x14ac:dyDescent="0.15">
      <c r="A72" s="134"/>
      <c r="B72" s="134"/>
      <c r="C72" s="138">
        <f ca="1">IFERROR(__xludf.DUMMYFUNCTION("""COMPUTED_VALUE"""),2244043)</f>
        <v>2244043</v>
      </c>
      <c r="D72" s="138" t="str">
        <f ca="1">IFERROR(__xludf.DUMMYFUNCTION("""COMPUTED_VALUE"""),"General")</f>
        <v>General</v>
      </c>
      <c r="E72" s="139" t="str">
        <f ca="1">IFERROR(__xludf.DUMMYFUNCTION("""COMPUTED_VALUE"""),"What to Do When There's Too Much to Do (getAbstract Summary)")</f>
        <v>What to Do When There's Too Much to Do (getAbstract Summary)</v>
      </c>
      <c r="F72" s="141"/>
      <c r="G72" s="134"/>
      <c r="H72" s="134"/>
      <c r="I72" s="134"/>
      <c r="J72" s="138"/>
      <c r="K72" s="138"/>
      <c r="L72" s="143"/>
      <c r="M72" s="142"/>
      <c r="N72" s="134"/>
      <c r="O72" s="134"/>
      <c r="P72" s="134"/>
      <c r="Q72" s="138"/>
      <c r="R72" s="138"/>
      <c r="S72" s="143"/>
      <c r="T72" s="141"/>
      <c r="U72" s="134"/>
      <c r="V72" s="134"/>
    </row>
    <row r="73" spans="1:22" ht="33.75" customHeight="1" x14ac:dyDescent="0.15">
      <c r="A73" s="134"/>
      <c r="B73" s="134"/>
      <c r="C73" s="138">
        <f ca="1">IFERROR(__xludf.DUMMYFUNCTION("""COMPUTED_VALUE"""),2805120)</f>
        <v>2805120</v>
      </c>
      <c r="D73" s="138" t="str">
        <f ca="1">IFERROR(__xludf.DUMMYFUNCTION("""COMPUTED_VALUE"""),"General")</f>
        <v>General</v>
      </c>
      <c r="E73" s="139" t="str">
        <f ca="1">IFERROR(__xludf.DUMMYFUNCTION("""COMPUTED_VALUE"""),"Improving the Value of Your Time")</f>
        <v>Improving the Value of Your Time</v>
      </c>
      <c r="F73" s="141"/>
      <c r="G73" s="134"/>
      <c r="H73" s="134"/>
      <c r="I73" s="134"/>
      <c r="J73" s="138"/>
      <c r="K73" s="138"/>
      <c r="L73" s="143"/>
      <c r="M73" s="142"/>
      <c r="N73" s="134"/>
      <c r="O73" s="134"/>
      <c r="P73" s="134"/>
      <c r="Q73" s="138"/>
      <c r="R73" s="138"/>
      <c r="S73" s="143"/>
      <c r="T73" s="141"/>
      <c r="U73" s="134"/>
      <c r="V73" s="134"/>
    </row>
    <row r="74" spans="1:22" ht="33.75" customHeight="1" x14ac:dyDescent="0.15">
      <c r="A74" s="134"/>
      <c r="B74" s="134"/>
      <c r="C74" s="138">
        <f ca="1">IFERROR(__xludf.DUMMYFUNCTION("""COMPUTED_VALUE"""),2841516)</f>
        <v>2841516</v>
      </c>
      <c r="D74" s="138" t="str">
        <f ca="1">IFERROR(__xludf.DUMMYFUNCTION("""COMPUTED_VALUE"""),"General")</f>
        <v>General</v>
      </c>
      <c r="E74" s="139" t="str">
        <f ca="1">IFERROR(__xludf.DUMMYFUNCTION("""COMPUTED_VALUE"""),"Balancing Work and Life as a Work-from-Home Parent")</f>
        <v>Balancing Work and Life as a Work-from-Home Parent</v>
      </c>
      <c r="F74" s="141"/>
      <c r="G74" s="134"/>
      <c r="H74" s="134"/>
      <c r="I74" s="134"/>
      <c r="J74" s="138"/>
      <c r="K74" s="138"/>
      <c r="L74" s="143"/>
      <c r="M74" s="142"/>
      <c r="N74" s="134"/>
      <c r="O74" s="134"/>
      <c r="P74" s="134"/>
      <c r="Q74" s="138"/>
      <c r="R74" s="138"/>
      <c r="S74" s="143"/>
      <c r="T74" s="141"/>
      <c r="U74" s="134"/>
      <c r="V74" s="134"/>
    </row>
    <row r="75" spans="1:22" ht="15" x14ac:dyDescent="0.15">
      <c r="A75" s="134"/>
      <c r="B75" s="134"/>
      <c r="C75" s="138">
        <f ca="1">IFERROR(__xludf.DUMMYFUNCTION("""COMPUTED_VALUE"""),2801187)</f>
        <v>2801187</v>
      </c>
      <c r="D75" s="138" t="str">
        <f ca="1">IFERROR(__xludf.DUMMYFUNCTION("""COMPUTED_VALUE"""),"General")</f>
        <v>General</v>
      </c>
      <c r="E75" s="139" t="str">
        <f ca="1">IFERROR(__xludf.DUMMYFUNCTION("""COMPUTED_VALUE"""),"Business Ethics")</f>
        <v>Business Ethics</v>
      </c>
      <c r="F75" s="141"/>
      <c r="G75" s="134"/>
      <c r="H75" s="134"/>
      <c r="I75" s="134"/>
      <c r="J75" s="138"/>
      <c r="K75" s="138"/>
      <c r="L75" s="143"/>
      <c r="M75" s="142"/>
      <c r="N75" s="134"/>
      <c r="O75" s="134"/>
      <c r="P75" s="134"/>
      <c r="Q75" s="138"/>
      <c r="R75" s="138"/>
      <c r="S75" s="143"/>
      <c r="T75" s="141"/>
      <c r="U75" s="134"/>
      <c r="V75" s="134"/>
    </row>
    <row r="76" spans="1:22" ht="30" x14ac:dyDescent="0.15">
      <c r="A76" s="134"/>
      <c r="B76" s="134"/>
      <c r="C76" s="138">
        <f ca="1">IFERROR(__xludf.DUMMYFUNCTION("""COMPUTED_VALUE"""),2817221)</f>
        <v>2817221</v>
      </c>
      <c r="D76" s="138" t="str">
        <f ca="1">IFERROR(__xludf.DUMMYFUNCTION("""COMPUTED_VALUE"""),"General")</f>
        <v>General</v>
      </c>
      <c r="E76" s="139" t="str">
        <f ca="1">IFERROR(__xludf.DUMMYFUNCTION("""COMPUTED_VALUE"""),"The Sweet Spot: How to Accomplish More by Doing Less")</f>
        <v>The Sweet Spot: How to Accomplish More by Doing Less</v>
      </c>
      <c r="F76" s="141"/>
      <c r="G76" s="134"/>
      <c r="H76" s="134"/>
      <c r="I76" s="134"/>
      <c r="J76" s="138"/>
      <c r="K76" s="138"/>
      <c r="L76" s="143"/>
      <c r="M76" s="142"/>
      <c r="N76" s="134"/>
      <c r="O76" s="134"/>
      <c r="P76" s="134"/>
      <c r="Q76" s="138"/>
      <c r="R76" s="138"/>
      <c r="S76" s="143"/>
      <c r="T76" s="141"/>
      <c r="U76" s="134"/>
      <c r="V76" s="134"/>
    </row>
    <row r="77" spans="1:22" ht="15" x14ac:dyDescent="0.15">
      <c r="A77" s="134"/>
      <c r="B77" s="134"/>
      <c r="C77" s="138">
        <f ca="1">IFERROR(__xludf.DUMMYFUNCTION("""COMPUTED_VALUE"""),2853007)</f>
        <v>2853007</v>
      </c>
      <c r="D77" s="138" t="str">
        <f ca="1">IFERROR(__xludf.DUMMYFUNCTION("""COMPUTED_VALUE"""),"General")</f>
        <v>General</v>
      </c>
      <c r="E77" s="139" t="str">
        <f ca="1">IFERROR(__xludf.DUMMYFUNCTION("""COMPUTED_VALUE"""),"Showing Up Authentically at Work")</f>
        <v>Showing Up Authentically at Work</v>
      </c>
      <c r="F77" s="141"/>
      <c r="G77" s="134"/>
      <c r="H77" s="134"/>
      <c r="I77" s="134"/>
      <c r="J77" s="138"/>
      <c r="K77" s="138"/>
      <c r="L77" s="143"/>
      <c r="M77" s="142"/>
      <c r="N77" s="134"/>
      <c r="O77" s="134"/>
      <c r="P77" s="134"/>
      <c r="Q77" s="138"/>
      <c r="R77" s="138"/>
      <c r="S77" s="143"/>
      <c r="T77" s="141"/>
      <c r="U77" s="134"/>
      <c r="V77" s="134"/>
    </row>
    <row r="78" spans="1:22" ht="30" x14ac:dyDescent="0.15">
      <c r="A78" s="134"/>
      <c r="B78" s="134"/>
      <c r="C78" s="138">
        <f ca="1">IFERROR(__xludf.DUMMYFUNCTION("""COMPUTED_VALUE"""),2849188)</f>
        <v>2849188</v>
      </c>
      <c r="D78" s="138" t="str">
        <f ca="1">IFERROR(__xludf.DUMMYFUNCTION("""COMPUTED_VALUE"""),"General")</f>
        <v>General</v>
      </c>
      <c r="E78" s="139" t="str">
        <f ca="1">IFERROR(__xludf.DUMMYFUNCTION("""COMPUTED_VALUE"""),"Working from Home: Strategies for Success")</f>
        <v>Working from Home: Strategies for Success</v>
      </c>
      <c r="F78" s="141"/>
      <c r="G78" s="134"/>
      <c r="H78" s="134"/>
      <c r="I78" s="134"/>
      <c r="J78" s="138"/>
      <c r="K78" s="138"/>
      <c r="L78" s="143"/>
      <c r="M78" s="142"/>
      <c r="N78" s="134"/>
      <c r="O78" s="134"/>
      <c r="P78" s="134"/>
      <c r="Q78" s="138"/>
      <c r="R78" s="138"/>
      <c r="S78" s="143"/>
      <c r="T78" s="141"/>
      <c r="U78" s="134"/>
      <c r="V78" s="134"/>
    </row>
    <row r="79" spans="1:22" ht="15" x14ac:dyDescent="0.15">
      <c r="A79" s="134"/>
      <c r="B79" s="134"/>
      <c r="C79" s="138">
        <f ca="1">IFERROR(__xludf.DUMMYFUNCTION("""COMPUTED_VALUE"""),2281181)</f>
        <v>2281181</v>
      </c>
      <c r="D79" s="138" t="str">
        <f ca="1">IFERROR(__xludf.DUMMYFUNCTION("""COMPUTED_VALUE"""),"General")</f>
        <v>General</v>
      </c>
      <c r="E79" s="139" t="str">
        <f ca="1">IFERROR(__xludf.DUMMYFUNCTION("""COMPUTED_VALUE"""),"The Power of Lists to Get Stuff Done")</f>
        <v>The Power of Lists to Get Stuff Done</v>
      </c>
      <c r="F79" s="141"/>
      <c r="G79" s="134"/>
      <c r="H79" s="134"/>
      <c r="I79" s="134"/>
      <c r="J79" s="138"/>
      <c r="K79" s="138"/>
      <c r="L79" s="143"/>
      <c r="M79" s="142"/>
      <c r="N79" s="134"/>
      <c r="O79" s="134"/>
      <c r="P79" s="134"/>
      <c r="Q79" s="138"/>
      <c r="R79" s="138"/>
      <c r="S79" s="143"/>
      <c r="T79" s="141"/>
      <c r="U79" s="134"/>
      <c r="V79" s="134"/>
    </row>
    <row r="80" spans="1:22" ht="15" x14ac:dyDescent="0.15">
      <c r="A80" s="134"/>
      <c r="B80" s="134"/>
      <c r="C80" s="138">
        <f ca="1">IFERROR(__xludf.DUMMYFUNCTION("""COMPUTED_VALUE"""),2825740)</f>
        <v>2825740</v>
      </c>
      <c r="D80" s="138" t="str">
        <f ca="1">IFERROR(__xludf.DUMMYFUNCTION("""COMPUTED_VALUE"""),"General")</f>
        <v>General</v>
      </c>
      <c r="E80" s="139" t="str">
        <f ca="1">IFERROR(__xludf.DUMMYFUNCTION("""COMPUTED_VALUE"""),"Asking for Feedback as an Employee")</f>
        <v>Asking for Feedback as an Employee</v>
      </c>
      <c r="F80" s="141"/>
      <c r="G80" s="134"/>
      <c r="H80" s="134"/>
      <c r="I80" s="134"/>
      <c r="J80" s="138"/>
      <c r="K80" s="138"/>
      <c r="L80" s="143"/>
      <c r="M80" s="142"/>
      <c r="N80" s="134"/>
      <c r="O80" s="134"/>
      <c r="P80" s="134"/>
      <c r="Q80" s="138"/>
      <c r="R80" s="138"/>
      <c r="S80" s="143"/>
      <c r="T80" s="141"/>
      <c r="U80" s="134"/>
      <c r="V80" s="134"/>
    </row>
    <row r="81" spans="1:22" ht="15" x14ac:dyDescent="0.15">
      <c r="A81" s="144"/>
      <c r="B81" s="144"/>
      <c r="C81" s="145">
        <f ca="1">IFERROR(__xludf.DUMMYFUNCTION("""COMPUTED_VALUE"""),2833004)</f>
        <v>2833004</v>
      </c>
      <c r="D81" s="145" t="str">
        <f ca="1">IFERROR(__xludf.DUMMYFUNCTION("""COMPUTED_VALUE"""),"General")</f>
        <v>General</v>
      </c>
      <c r="E81" s="146" t="str">
        <f ca="1">IFERROR(__xludf.DUMMYFUNCTION("""COMPUTED_VALUE"""),"Mastering Self-Leadership")</f>
        <v>Mastering Self-Leadership</v>
      </c>
      <c r="F81" s="147"/>
      <c r="G81" s="144"/>
      <c r="H81" s="144"/>
      <c r="I81" s="144"/>
      <c r="J81" s="145"/>
      <c r="K81" s="145"/>
      <c r="L81" s="148"/>
      <c r="M81" s="149"/>
      <c r="N81" s="144"/>
      <c r="O81" s="144"/>
      <c r="P81" s="144"/>
      <c r="Q81" s="145"/>
      <c r="R81" s="145"/>
      <c r="S81" s="148"/>
      <c r="T81" s="147"/>
      <c r="U81" s="144"/>
      <c r="V81" s="144"/>
    </row>
    <row r="82" spans="1:22" ht="15" x14ac:dyDescent="0.15">
      <c r="A82" s="144"/>
      <c r="B82" s="144"/>
      <c r="C82" s="145">
        <f ca="1">IFERROR(__xludf.DUMMYFUNCTION("""COMPUTED_VALUE"""),2300009)</f>
        <v>2300009</v>
      </c>
      <c r="D82" s="145" t="str">
        <f ca="1">IFERROR(__xludf.DUMMYFUNCTION("""COMPUTED_VALUE"""),"General")</f>
        <v>General</v>
      </c>
      <c r="E82" s="146" t="str">
        <f ca="1">IFERROR(__xludf.DUMMYFUNCTION("""COMPUTED_VALUE"""),"Managing Up Virtually as an Employee")</f>
        <v>Managing Up Virtually as an Employee</v>
      </c>
      <c r="F82" s="147"/>
      <c r="G82" s="144"/>
      <c r="H82" s="144"/>
      <c r="I82" s="144"/>
      <c r="J82" s="145"/>
      <c r="K82" s="145"/>
      <c r="L82" s="148"/>
      <c r="M82" s="149"/>
      <c r="N82" s="144"/>
      <c r="O82" s="144"/>
      <c r="P82" s="144"/>
      <c r="Q82" s="145"/>
      <c r="R82" s="145"/>
      <c r="S82" s="148"/>
      <c r="T82" s="147"/>
      <c r="U82" s="144"/>
      <c r="V82" s="144"/>
    </row>
    <row r="83" spans="1:22" ht="14" x14ac:dyDescent="0.15">
      <c r="A83" s="144"/>
      <c r="B83" s="144"/>
      <c r="C83" s="145"/>
      <c r="D83" s="145"/>
      <c r="E83" s="148"/>
      <c r="F83" s="147"/>
      <c r="G83" s="144"/>
      <c r="H83" s="144"/>
      <c r="I83" s="144"/>
      <c r="J83" s="145"/>
      <c r="K83" s="145"/>
      <c r="L83" s="148"/>
      <c r="M83" s="149"/>
      <c r="N83" s="144"/>
      <c r="O83" s="144"/>
      <c r="P83" s="144"/>
      <c r="Q83" s="145"/>
      <c r="R83" s="145"/>
      <c r="S83" s="148"/>
      <c r="T83" s="147"/>
      <c r="U83" s="144"/>
      <c r="V83" s="144"/>
    </row>
    <row r="84" spans="1:22" ht="14" x14ac:dyDescent="0.15">
      <c r="A84" s="144"/>
      <c r="B84" s="144"/>
      <c r="C84" s="145"/>
      <c r="D84" s="145"/>
      <c r="E84" s="148"/>
      <c r="F84" s="147"/>
      <c r="G84" s="144"/>
      <c r="H84" s="144"/>
      <c r="I84" s="144"/>
      <c r="J84" s="145"/>
      <c r="K84" s="145"/>
      <c r="L84" s="148"/>
      <c r="M84" s="149"/>
      <c r="N84" s="144"/>
      <c r="O84" s="144"/>
      <c r="P84" s="144"/>
      <c r="Q84" s="145"/>
      <c r="R84" s="145"/>
      <c r="S84" s="148"/>
      <c r="T84" s="147"/>
      <c r="U84" s="144"/>
      <c r="V84" s="144"/>
    </row>
    <row r="85" spans="1:22" ht="14" x14ac:dyDescent="0.15">
      <c r="A85" s="144"/>
      <c r="B85" s="144"/>
      <c r="C85" s="145"/>
      <c r="D85" s="145"/>
      <c r="E85" s="148"/>
      <c r="F85" s="147"/>
      <c r="G85" s="144"/>
      <c r="H85" s="144"/>
      <c r="I85" s="144"/>
      <c r="J85" s="145"/>
      <c r="K85" s="145"/>
      <c r="L85" s="148"/>
      <c r="M85" s="149"/>
      <c r="N85" s="144"/>
      <c r="O85" s="144"/>
      <c r="P85" s="144"/>
      <c r="Q85" s="145"/>
      <c r="R85" s="145"/>
      <c r="S85" s="148"/>
      <c r="T85" s="147"/>
      <c r="U85" s="144"/>
      <c r="V85" s="144"/>
    </row>
    <row r="86" spans="1:22" ht="14" x14ac:dyDescent="0.15">
      <c r="A86" s="144"/>
      <c r="B86" s="144"/>
      <c r="C86" s="145"/>
      <c r="D86" s="145"/>
      <c r="E86" s="148"/>
      <c r="F86" s="147"/>
      <c r="G86" s="144"/>
      <c r="H86" s="144"/>
      <c r="I86" s="144"/>
      <c r="J86" s="145"/>
      <c r="K86" s="145"/>
      <c r="L86" s="148"/>
      <c r="M86" s="149"/>
      <c r="N86" s="144"/>
      <c r="O86" s="144"/>
      <c r="P86" s="144"/>
      <c r="Q86" s="145"/>
      <c r="R86" s="145"/>
      <c r="S86" s="148"/>
      <c r="T86" s="147"/>
      <c r="U86" s="144"/>
      <c r="V86" s="144"/>
    </row>
    <row r="87" spans="1:22" ht="14" x14ac:dyDescent="0.15">
      <c r="A87" s="144"/>
      <c r="B87" s="144"/>
      <c r="C87" s="145"/>
      <c r="D87" s="145"/>
      <c r="E87" s="148"/>
      <c r="F87" s="147"/>
      <c r="G87" s="144"/>
      <c r="H87" s="144"/>
      <c r="I87" s="144"/>
      <c r="J87" s="145"/>
      <c r="K87" s="145"/>
      <c r="L87" s="148"/>
      <c r="M87" s="149"/>
      <c r="N87" s="144"/>
      <c r="O87" s="144"/>
      <c r="P87" s="144"/>
      <c r="Q87" s="145"/>
      <c r="R87" s="145"/>
      <c r="S87" s="148"/>
      <c r="T87" s="147"/>
      <c r="U87" s="144"/>
      <c r="V87" s="144"/>
    </row>
    <row r="88" spans="1:22" ht="14" x14ac:dyDescent="0.15">
      <c r="A88" s="144"/>
      <c r="B88" s="144"/>
      <c r="C88" s="145"/>
      <c r="D88" s="145"/>
      <c r="E88" s="148"/>
      <c r="F88" s="147"/>
      <c r="G88" s="144"/>
      <c r="H88" s="144"/>
      <c r="I88" s="144"/>
      <c r="J88" s="145"/>
      <c r="K88" s="145"/>
      <c r="L88" s="148"/>
      <c r="M88" s="149"/>
      <c r="N88" s="144"/>
      <c r="O88" s="144"/>
      <c r="P88" s="144"/>
      <c r="Q88" s="145"/>
      <c r="R88" s="145"/>
      <c r="S88" s="148"/>
      <c r="T88" s="147"/>
      <c r="U88" s="144"/>
      <c r="V88" s="144"/>
    </row>
    <row r="89" spans="1:22" ht="14" x14ac:dyDescent="0.15">
      <c r="A89" s="144"/>
      <c r="B89" s="144"/>
      <c r="C89" s="145"/>
      <c r="D89" s="145"/>
      <c r="E89" s="148"/>
      <c r="F89" s="147"/>
      <c r="G89" s="144"/>
      <c r="H89" s="144"/>
      <c r="I89" s="144"/>
      <c r="J89" s="145"/>
      <c r="K89" s="145"/>
      <c r="L89" s="148"/>
      <c r="M89" s="149"/>
      <c r="N89" s="144"/>
      <c r="O89" s="144"/>
      <c r="P89" s="144"/>
      <c r="Q89" s="145"/>
      <c r="R89" s="145"/>
      <c r="S89" s="148"/>
      <c r="T89" s="147"/>
      <c r="U89" s="144"/>
      <c r="V89" s="144"/>
    </row>
    <row r="90" spans="1:22" ht="14" x14ac:dyDescent="0.15">
      <c r="A90" s="144"/>
      <c r="B90" s="144"/>
      <c r="C90" s="145"/>
      <c r="D90" s="145"/>
      <c r="E90" s="148"/>
      <c r="F90" s="147"/>
      <c r="G90" s="144"/>
      <c r="H90" s="144"/>
      <c r="I90" s="144"/>
      <c r="J90" s="145"/>
      <c r="K90" s="145"/>
      <c r="L90" s="148"/>
      <c r="M90" s="149"/>
      <c r="N90" s="144"/>
      <c r="O90" s="144"/>
      <c r="P90" s="144"/>
      <c r="Q90" s="145"/>
      <c r="R90" s="145"/>
      <c r="S90" s="148"/>
      <c r="T90" s="147"/>
      <c r="U90" s="144"/>
      <c r="V90" s="144"/>
    </row>
    <row r="91" spans="1:22" ht="14" x14ac:dyDescent="0.15">
      <c r="A91" s="144"/>
      <c r="B91" s="144"/>
      <c r="C91" s="145"/>
      <c r="D91" s="145"/>
      <c r="E91" s="148"/>
      <c r="F91" s="147"/>
      <c r="G91" s="144"/>
      <c r="H91" s="144"/>
      <c r="I91" s="144"/>
      <c r="J91" s="145"/>
      <c r="K91" s="145"/>
      <c r="L91" s="148"/>
      <c r="M91" s="149"/>
      <c r="N91" s="144"/>
      <c r="O91" s="144"/>
      <c r="P91" s="144"/>
      <c r="Q91" s="145"/>
      <c r="R91" s="145"/>
      <c r="S91" s="148"/>
      <c r="T91" s="147"/>
      <c r="U91" s="144"/>
      <c r="V91" s="144"/>
    </row>
    <row r="92" spans="1:22" ht="14" x14ac:dyDescent="0.15">
      <c r="A92" s="144"/>
      <c r="B92" s="144"/>
      <c r="C92" s="145"/>
      <c r="D92" s="145"/>
      <c r="E92" s="148"/>
      <c r="F92" s="147"/>
      <c r="G92" s="144"/>
      <c r="H92" s="144"/>
      <c r="I92" s="144"/>
      <c r="J92" s="145"/>
      <c r="K92" s="145"/>
      <c r="L92" s="148"/>
      <c r="M92" s="149"/>
      <c r="N92" s="144"/>
      <c r="O92" s="144"/>
      <c r="P92" s="144"/>
      <c r="Q92" s="145"/>
      <c r="R92" s="145"/>
      <c r="S92" s="148"/>
      <c r="T92" s="147"/>
      <c r="U92" s="144"/>
      <c r="V92" s="144"/>
    </row>
    <row r="93" spans="1:22" ht="14" x14ac:dyDescent="0.15">
      <c r="A93" s="144"/>
      <c r="B93" s="144"/>
      <c r="C93" s="145"/>
      <c r="D93" s="145"/>
      <c r="E93" s="148"/>
      <c r="F93" s="147"/>
      <c r="G93" s="144"/>
      <c r="H93" s="144"/>
      <c r="I93" s="144"/>
      <c r="J93" s="145"/>
      <c r="K93" s="145"/>
      <c r="L93" s="148"/>
      <c r="M93" s="149"/>
      <c r="N93" s="144"/>
      <c r="O93" s="144"/>
      <c r="P93" s="144"/>
      <c r="Q93" s="145"/>
      <c r="R93" s="145"/>
      <c r="S93" s="148"/>
      <c r="T93" s="147"/>
      <c r="U93" s="144"/>
      <c r="V93" s="144"/>
    </row>
    <row r="94" spans="1:22" ht="14" x14ac:dyDescent="0.15">
      <c r="A94" s="144"/>
      <c r="B94" s="144"/>
      <c r="C94" s="145"/>
      <c r="D94" s="145"/>
      <c r="E94" s="148"/>
      <c r="F94" s="147"/>
      <c r="G94" s="144"/>
      <c r="H94" s="144"/>
      <c r="I94" s="144"/>
      <c r="J94" s="145"/>
      <c r="K94" s="145"/>
      <c r="L94" s="148"/>
      <c r="M94" s="149"/>
      <c r="N94" s="144"/>
      <c r="O94" s="144"/>
      <c r="P94" s="144"/>
      <c r="Q94" s="145"/>
      <c r="R94" s="145"/>
      <c r="S94" s="148"/>
      <c r="T94" s="147"/>
      <c r="U94" s="144"/>
      <c r="V94" s="144"/>
    </row>
    <row r="95" spans="1:22" ht="14" x14ac:dyDescent="0.15">
      <c r="A95" s="144"/>
      <c r="B95" s="144"/>
      <c r="C95" s="145"/>
      <c r="D95" s="145"/>
      <c r="E95" s="148"/>
      <c r="F95" s="147"/>
      <c r="G95" s="144"/>
      <c r="H95" s="144"/>
      <c r="I95" s="144"/>
      <c r="J95" s="145"/>
      <c r="K95" s="145"/>
      <c r="L95" s="148"/>
      <c r="M95" s="149"/>
      <c r="N95" s="144"/>
      <c r="O95" s="144"/>
      <c r="P95" s="144"/>
      <c r="Q95" s="145"/>
      <c r="R95" s="145"/>
      <c r="S95" s="148"/>
      <c r="T95" s="147"/>
      <c r="U95" s="144"/>
      <c r="V95" s="144"/>
    </row>
    <row r="96" spans="1:22" ht="14" x14ac:dyDescent="0.15">
      <c r="A96" s="144"/>
      <c r="B96" s="144"/>
      <c r="C96" s="145"/>
      <c r="D96" s="145"/>
      <c r="E96" s="148"/>
      <c r="F96" s="147"/>
      <c r="G96" s="144"/>
      <c r="H96" s="144"/>
      <c r="I96" s="144"/>
      <c r="J96" s="145"/>
      <c r="K96" s="145"/>
      <c r="L96" s="148"/>
      <c r="M96" s="149"/>
      <c r="N96" s="144"/>
      <c r="O96" s="144"/>
      <c r="P96" s="144"/>
      <c r="Q96" s="145"/>
      <c r="R96" s="145"/>
      <c r="S96" s="148"/>
      <c r="T96" s="147"/>
      <c r="U96" s="144"/>
      <c r="V96" s="144"/>
    </row>
    <row r="97" spans="1:22" ht="14" x14ac:dyDescent="0.15">
      <c r="A97" s="144"/>
      <c r="B97" s="144"/>
      <c r="C97" s="145"/>
      <c r="D97" s="145"/>
      <c r="E97" s="148"/>
      <c r="F97" s="147"/>
      <c r="G97" s="144"/>
      <c r="H97" s="144"/>
      <c r="I97" s="144"/>
      <c r="J97" s="145"/>
      <c r="K97" s="145"/>
      <c r="L97" s="148"/>
      <c r="M97" s="149"/>
      <c r="N97" s="144"/>
      <c r="O97" s="144"/>
      <c r="P97" s="144"/>
      <c r="Q97" s="145"/>
      <c r="R97" s="145"/>
      <c r="S97" s="148"/>
      <c r="T97" s="147"/>
      <c r="U97" s="144"/>
      <c r="V97" s="144"/>
    </row>
    <row r="98" spans="1:22" ht="14" x14ac:dyDescent="0.15">
      <c r="A98" s="144"/>
      <c r="B98" s="144"/>
      <c r="C98" s="145"/>
      <c r="D98" s="145"/>
      <c r="E98" s="148"/>
      <c r="F98" s="147"/>
      <c r="G98" s="144"/>
      <c r="H98" s="144"/>
      <c r="I98" s="144"/>
      <c r="J98" s="145"/>
      <c r="K98" s="145"/>
      <c r="L98" s="148"/>
      <c r="M98" s="149"/>
      <c r="N98" s="144"/>
      <c r="O98" s="144"/>
      <c r="P98" s="144"/>
      <c r="Q98" s="145"/>
      <c r="R98" s="145"/>
      <c r="S98" s="148"/>
      <c r="T98" s="147"/>
      <c r="U98" s="144"/>
      <c r="V98" s="144"/>
    </row>
    <row r="99" spans="1:22" ht="14" x14ac:dyDescent="0.15">
      <c r="A99" s="144"/>
      <c r="B99" s="144"/>
      <c r="C99" s="145"/>
      <c r="D99" s="145"/>
      <c r="E99" s="148"/>
      <c r="F99" s="147"/>
      <c r="G99" s="144"/>
      <c r="H99" s="144"/>
      <c r="I99" s="144"/>
      <c r="J99" s="145"/>
      <c r="K99" s="145"/>
      <c r="L99" s="148"/>
      <c r="M99" s="149"/>
      <c r="N99" s="144"/>
      <c r="O99" s="144"/>
      <c r="P99" s="144"/>
      <c r="Q99" s="145"/>
      <c r="R99" s="145"/>
      <c r="S99" s="148"/>
      <c r="T99" s="147"/>
      <c r="U99" s="144"/>
      <c r="V99" s="144"/>
    </row>
    <row r="100" spans="1:22" ht="14" x14ac:dyDescent="0.15">
      <c r="A100" s="144"/>
      <c r="B100" s="144"/>
      <c r="C100" s="145"/>
      <c r="D100" s="145"/>
      <c r="E100" s="148"/>
      <c r="F100" s="147"/>
      <c r="G100" s="144"/>
      <c r="H100" s="144"/>
      <c r="I100" s="144"/>
      <c r="J100" s="145"/>
      <c r="K100" s="145"/>
      <c r="L100" s="148"/>
      <c r="M100" s="149"/>
      <c r="N100" s="144"/>
      <c r="O100" s="144"/>
      <c r="P100" s="144"/>
      <c r="Q100" s="145"/>
      <c r="R100" s="145"/>
      <c r="S100" s="148"/>
      <c r="T100" s="147"/>
      <c r="U100" s="144"/>
      <c r="V100" s="144"/>
    </row>
    <row r="101" spans="1:22" ht="14" x14ac:dyDescent="0.15">
      <c r="A101" s="144"/>
      <c r="B101" s="144"/>
      <c r="C101" s="145"/>
      <c r="D101" s="145"/>
      <c r="E101" s="148"/>
      <c r="F101" s="147"/>
      <c r="G101" s="144"/>
      <c r="H101" s="144"/>
      <c r="I101" s="144"/>
      <c r="J101" s="145"/>
      <c r="K101" s="145"/>
      <c r="L101" s="148"/>
      <c r="M101" s="149"/>
      <c r="N101" s="144"/>
      <c r="O101" s="144"/>
      <c r="P101" s="144"/>
      <c r="Q101" s="145"/>
      <c r="R101" s="145"/>
      <c r="S101" s="148"/>
      <c r="T101" s="147"/>
      <c r="U101" s="144"/>
      <c r="V101" s="144"/>
    </row>
    <row r="102" spans="1:22" ht="14" x14ac:dyDescent="0.15">
      <c r="A102" s="144"/>
      <c r="B102" s="144"/>
      <c r="C102" s="145"/>
      <c r="D102" s="145"/>
      <c r="E102" s="148"/>
      <c r="F102" s="147"/>
      <c r="G102" s="144"/>
      <c r="H102" s="144"/>
      <c r="I102" s="144"/>
      <c r="J102" s="145"/>
      <c r="K102" s="145"/>
      <c r="L102" s="148"/>
      <c r="M102" s="149"/>
      <c r="N102" s="144"/>
      <c r="O102" s="144"/>
      <c r="P102" s="144"/>
      <c r="Q102" s="145"/>
      <c r="R102" s="145"/>
      <c r="S102" s="148"/>
      <c r="T102" s="147"/>
      <c r="U102" s="144"/>
      <c r="V102" s="144"/>
    </row>
    <row r="103" spans="1:22" ht="14" x14ac:dyDescent="0.15">
      <c r="A103" s="144"/>
      <c r="B103" s="144"/>
      <c r="C103" s="145"/>
      <c r="D103" s="145"/>
      <c r="E103" s="148"/>
      <c r="F103" s="147"/>
      <c r="G103" s="144"/>
      <c r="H103" s="144"/>
      <c r="I103" s="144"/>
      <c r="J103" s="145"/>
      <c r="K103" s="145"/>
      <c r="L103" s="148"/>
      <c r="M103" s="149"/>
      <c r="N103" s="144"/>
      <c r="O103" s="144"/>
      <c r="P103" s="144"/>
      <c r="Q103" s="145"/>
      <c r="R103" s="145"/>
      <c r="S103" s="148"/>
      <c r="T103" s="147"/>
      <c r="U103" s="144"/>
      <c r="V103" s="144"/>
    </row>
    <row r="104" spans="1:22" ht="14" x14ac:dyDescent="0.15">
      <c r="A104" s="144"/>
      <c r="B104" s="144"/>
      <c r="C104" s="145"/>
      <c r="D104" s="145"/>
      <c r="E104" s="148"/>
      <c r="F104" s="147"/>
      <c r="G104" s="144"/>
      <c r="H104" s="144"/>
      <c r="I104" s="144"/>
      <c r="J104" s="145"/>
      <c r="K104" s="145"/>
      <c r="L104" s="148"/>
      <c r="M104" s="149"/>
      <c r="N104" s="144"/>
      <c r="O104" s="144"/>
      <c r="P104" s="144"/>
      <c r="Q104" s="145"/>
      <c r="R104" s="145"/>
      <c r="S104" s="148"/>
      <c r="T104" s="147"/>
      <c r="U104" s="144"/>
      <c r="V104" s="144"/>
    </row>
    <row r="105" spans="1:22" ht="14" x14ac:dyDescent="0.15">
      <c r="A105" s="144"/>
      <c r="B105" s="144"/>
      <c r="C105" s="145"/>
      <c r="D105" s="145"/>
      <c r="E105" s="148"/>
      <c r="F105" s="147"/>
      <c r="G105" s="144"/>
      <c r="H105" s="144"/>
      <c r="I105" s="144"/>
      <c r="J105" s="145"/>
      <c r="K105" s="145"/>
      <c r="L105" s="148"/>
      <c r="M105" s="149"/>
      <c r="N105" s="144"/>
      <c r="O105" s="144"/>
      <c r="P105" s="144"/>
      <c r="Q105" s="145"/>
      <c r="R105" s="145"/>
      <c r="S105" s="148"/>
      <c r="T105" s="147"/>
      <c r="U105" s="144"/>
      <c r="V105" s="144"/>
    </row>
    <row r="106" spans="1:22" ht="14" x14ac:dyDescent="0.15">
      <c r="A106" s="144"/>
      <c r="B106" s="144"/>
      <c r="C106" s="145"/>
      <c r="D106" s="145"/>
      <c r="E106" s="148"/>
      <c r="F106" s="147"/>
      <c r="G106" s="144"/>
      <c r="H106" s="144"/>
      <c r="I106" s="144"/>
      <c r="J106" s="145"/>
      <c r="K106" s="145"/>
      <c r="L106" s="148"/>
      <c r="M106" s="149"/>
      <c r="N106" s="144"/>
      <c r="O106" s="144"/>
      <c r="P106" s="144"/>
      <c r="Q106" s="145"/>
      <c r="R106" s="145"/>
      <c r="S106" s="148"/>
      <c r="T106" s="147"/>
      <c r="U106" s="144"/>
      <c r="V106" s="144"/>
    </row>
    <row r="107" spans="1:22" ht="14" x14ac:dyDescent="0.15">
      <c r="A107" s="144"/>
      <c r="B107" s="144"/>
      <c r="C107" s="145"/>
      <c r="D107" s="145"/>
      <c r="E107" s="148"/>
      <c r="F107" s="147"/>
      <c r="G107" s="144"/>
      <c r="H107" s="144"/>
      <c r="I107" s="144"/>
      <c r="J107" s="145"/>
      <c r="K107" s="145"/>
      <c r="L107" s="148"/>
      <c r="M107" s="149"/>
      <c r="N107" s="144"/>
      <c r="O107" s="144"/>
      <c r="P107" s="144"/>
      <c r="Q107" s="145"/>
      <c r="R107" s="145"/>
      <c r="S107" s="148"/>
      <c r="T107" s="147"/>
      <c r="U107" s="144"/>
      <c r="V107" s="144"/>
    </row>
    <row r="108" spans="1:22" ht="14" x14ac:dyDescent="0.15">
      <c r="A108" s="144"/>
      <c r="B108" s="144"/>
      <c r="C108" s="145"/>
      <c r="D108" s="145"/>
      <c r="E108" s="148"/>
      <c r="F108" s="147"/>
      <c r="G108" s="144"/>
      <c r="H108" s="144"/>
      <c r="I108" s="144"/>
      <c r="J108" s="145"/>
      <c r="K108" s="145"/>
      <c r="L108" s="148"/>
      <c r="M108" s="149"/>
      <c r="N108" s="144"/>
      <c r="O108" s="144"/>
      <c r="P108" s="144"/>
      <c r="Q108" s="145"/>
      <c r="R108" s="145"/>
      <c r="S108" s="148"/>
      <c r="T108" s="147"/>
      <c r="U108" s="144"/>
      <c r="V108" s="144"/>
    </row>
    <row r="109" spans="1:22" ht="14" x14ac:dyDescent="0.15">
      <c r="A109" s="144"/>
      <c r="B109" s="144"/>
      <c r="C109" s="145"/>
      <c r="D109" s="145"/>
      <c r="E109" s="148"/>
      <c r="F109" s="147"/>
      <c r="G109" s="144"/>
      <c r="H109" s="144"/>
      <c r="I109" s="144"/>
      <c r="J109" s="145"/>
      <c r="K109" s="145"/>
      <c r="L109" s="148"/>
      <c r="M109" s="149"/>
      <c r="N109" s="144"/>
      <c r="O109" s="144"/>
      <c r="P109" s="144"/>
      <c r="Q109" s="145"/>
      <c r="R109" s="145"/>
      <c r="S109" s="148"/>
      <c r="T109" s="147"/>
      <c r="U109" s="144"/>
      <c r="V109" s="144"/>
    </row>
    <row r="110" spans="1:22" ht="14" x14ac:dyDescent="0.15">
      <c r="A110" s="144"/>
      <c r="B110" s="144"/>
      <c r="C110" s="145"/>
      <c r="D110" s="145"/>
      <c r="E110" s="148"/>
      <c r="F110" s="147"/>
      <c r="G110" s="144"/>
      <c r="H110" s="144"/>
      <c r="I110" s="144"/>
      <c r="J110" s="145"/>
      <c r="K110" s="145"/>
      <c r="L110" s="148"/>
      <c r="M110" s="149"/>
      <c r="N110" s="144"/>
      <c r="O110" s="144"/>
      <c r="P110" s="144"/>
      <c r="Q110" s="145"/>
      <c r="R110" s="145"/>
      <c r="S110" s="148"/>
      <c r="T110" s="147"/>
      <c r="U110" s="144"/>
      <c r="V110" s="144"/>
    </row>
    <row r="111" spans="1:22" ht="14" x14ac:dyDescent="0.15">
      <c r="A111" s="144"/>
      <c r="B111" s="144"/>
      <c r="C111" s="145"/>
      <c r="D111" s="145"/>
      <c r="E111" s="148"/>
      <c r="F111" s="147"/>
      <c r="G111" s="144"/>
      <c r="H111" s="144"/>
      <c r="I111" s="144"/>
      <c r="J111" s="145"/>
      <c r="K111" s="145"/>
      <c r="L111" s="148"/>
      <c r="M111" s="149"/>
      <c r="N111" s="144"/>
      <c r="O111" s="144"/>
      <c r="P111" s="144"/>
      <c r="Q111" s="145"/>
      <c r="R111" s="145"/>
      <c r="S111" s="148"/>
      <c r="T111" s="147"/>
      <c r="U111" s="144"/>
      <c r="V111" s="144"/>
    </row>
    <row r="112" spans="1:22" ht="14" x14ac:dyDescent="0.15">
      <c r="A112" s="144"/>
      <c r="B112" s="144"/>
      <c r="C112" s="145"/>
      <c r="D112" s="145"/>
      <c r="E112" s="148"/>
      <c r="F112" s="147"/>
      <c r="G112" s="144"/>
      <c r="H112" s="144"/>
      <c r="I112" s="144"/>
      <c r="J112" s="145"/>
      <c r="K112" s="145"/>
      <c r="L112" s="148"/>
      <c r="M112" s="149"/>
      <c r="N112" s="144"/>
      <c r="O112" s="144"/>
      <c r="P112" s="144"/>
      <c r="Q112" s="145"/>
      <c r="R112" s="145"/>
      <c r="S112" s="148"/>
      <c r="T112" s="147"/>
      <c r="U112" s="144"/>
      <c r="V112" s="144"/>
    </row>
    <row r="113" spans="1:22" ht="14" x14ac:dyDescent="0.15">
      <c r="A113" s="144"/>
      <c r="B113" s="144"/>
      <c r="C113" s="145"/>
      <c r="D113" s="145"/>
      <c r="E113" s="148"/>
      <c r="F113" s="147"/>
      <c r="G113" s="144"/>
      <c r="H113" s="144"/>
      <c r="I113" s="144"/>
      <c r="J113" s="145"/>
      <c r="K113" s="145"/>
      <c r="L113" s="148"/>
      <c r="M113" s="149"/>
      <c r="N113" s="144"/>
      <c r="O113" s="144"/>
      <c r="P113" s="144"/>
      <c r="Q113" s="145"/>
      <c r="R113" s="145"/>
      <c r="S113" s="148"/>
      <c r="T113" s="147"/>
      <c r="U113" s="144"/>
      <c r="V113" s="144"/>
    </row>
    <row r="114" spans="1:22" ht="14" x14ac:dyDescent="0.15">
      <c r="A114" s="144"/>
      <c r="B114" s="144"/>
      <c r="C114" s="145"/>
      <c r="D114" s="145"/>
      <c r="E114" s="148"/>
      <c r="F114" s="147"/>
      <c r="G114" s="144"/>
      <c r="H114" s="144"/>
      <c r="I114" s="144"/>
      <c r="J114" s="145"/>
      <c r="K114" s="145"/>
      <c r="L114" s="148"/>
      <c r="M114" s="149"/>
      <c r="N114" s="144"/>
      <c r="O114" s="144"/>
      <c r="P114" s="144"/>
      <c r="Q114" s="145"/>
      <c r="R114" s="145"/>
      <c r="S114" s="148"/>
      <c r="T114" s="147"/>
      <c r="U114" s="144"/>
      <c r="V114" s="144"/>
    </row>
    <row r="115" spans="1:22" ht="14" x14ac:dyDescent="0.15">
      <c r="A115" s="144"/>
      <c r="B115" s="144"/>
      <c r="C115" s="145"/>
      <c r="D115" s="145"/>
      <c r="E115" s="148"/>
      <c r="F115" s="147"/>
      <c r="G115" s="144"/>
      <c r="H115" s="144"/>
      <c r="I115" s="144"/>
      <c r="J115" s="145"/>
      <c r="K115" s="145"/>
      <c r="L115" s="148"/>
      <c r="M115" s="149"/>
      <c r="N115" s="144"/>
      <c r="O115" s="144"/>
      <c r="P115" s="144"/>
      <c r="Q115" s="145"/>
      <c r="R115" s="145"/>
      <c r="S115" s="148"/>
      <c r="T115" s="147"/>
      <c r="U115" s="144"/>
      <c r="V115" s="144"/>
    </row>
    <row r="116" spans="1:22" ht="14" x14ac:dyDescent="0.15">
      <c r="A116" s="144"/>
      <c r="B116" s="144"/>
      <c r="C116" s="145"/>
      <c r="D116" s="145"/>
      <c r="E116" s="148"/>
      <c r="F116" s="147"/>
      <c r="G116" s="144"/>
      <c r="H116" s="144"/>
      <c r="I116" s="144"/>
      <c r="J116" s="145"/>
      <c r="K116" s="145"/>
      <c r="L116" s="148"/>
      <c r="M116" s="149"/>
      <c r="N116" s="144"/>
      <c r="O116" s="144"/>
      <c r="P116" s="144"/>
      <c r="Q116" s="145"/>
      <c r="R116" s="145"/>
      <c r="S116" s="148"/>
      <c r="T116" s="147"/>
      <c r="U116" s="144"/>
      <c r="V116" s="144"/>
    </row>
    <row r="117" spans="1:22" ht="14" x14ac:dyDescent="0.15">
      <c r="A117" s="144"/>
      <c r="B117" s="144"/>
      <c r="C117" s="145"/>
      <c r="D117" s="145"/>
      <c r="E117" s="148"/>
      <c r="F117" s="147"/>
      <c r="G117" s="144"/>
      <c r="H117" s="144"/>
      <c r="I117" s="144"/>
      <c r="J117" s="145"/>
      <c r="K117" s="145"/>
      <c r="L117" s="148"/>
      <c r="M117" s="149"/>
      <c r="N117" s="144"/>
      <c r="O117" s="144"/>
      <c r="P117" s="144"/>
      <c r="Q117" s="145"/>
      <c r="R117" s="145"/>
      <c r="S117" s="148"/>
      <c r="T117" s="147"/>
      <c r="U117" s="144"/>
      <c r="V117" s="144"/>
    </row>
    <row r="118" spans="1:22" ht="14" x14ac:dyDescent="0.15">
      <c r="A118" s="144"/>
      <c r="B118" s="144"/>
      <c r="C118" s="145"/>
      <c r="D118" s="145"/>
      <c r="E118" s="148"/>
      <c r="F118" s="147"/>
      <c r="G118" s="144"/>
      <c r="H118" s="144"/>
      <c r="I118" s="144"/>
      <c r="J118" s="145"/>
      <c r="K118" s="145"/>
      <c r="L118" s="148"/>
      <c r="M118" s="149"/>
      <c r="N118" s="144"/>
      <c r="O118" s="144"/>
      <c r="P118" s="144"/>
      <c r="Q118" s="145"/>
      <c r="R118" s="145"/>
      <c r="S118" s="148"/>
      <c r="T118" s="147"/>
      <c r="U118" s="144"/>
      <c r="V118" s="144"/>
    </row>
    <row r="119" spans="1:22" ht="14" x14ac:dyDescent="0.15">
      <c r="A119" s="144"/>
      <c r="B119" s="144"/>
      <c r="C119" s="145"/>
      <c r="D119" s="145"/>
      <c r="E119" s="148"/>
      <c r="F119" s="147"/>
      <c r="G119" s="144"/>
      <c r="H119" s="144"/>
      <c r="I119" s="144"/>
      <c r="J119" s="145"/>
      <c r="K119" s="145"/>
      <c r="L119" s="148"/>
      <c r="M119" s="149"/>
      <c r="N119" s="144"/>
      <c r="O119" s="144"/>
      <c r="P119" s="144"/>
      <c r="Q119" s="145"/>
      <c r="R119" s="145"/>
      <c r="S119" s="148"/>
      <c r="T119" s="147"/>
      <c r="U119" s="144"/>
      <c r="V119" s="144"/>
    </row>
    <row r="120" spans="1:22" ht="14" x14ac:dyDescent="0.15">
      <c r="A120" s="144"/>
      <c r="B120" s="144"/>
      <c r="C120" s="145"/>
      <c r="D120" s="145"/>
      <c r="E120" s="148"/>
      <c r="F120" s="147"/>
      <c r="G120" s="144"/>
      <c r="H120" s="144"/>
      <c r="I120" s="144"/>
      <c r="J120" s="145"/>
      <c r="K120" s="145"/>
      <c r="L120" s="148"/>
      <c r="M120" s="149"/>
      <c r="N120" s="144"/>
      <c r="O120" s="144"/>
      <c r="P120" s="144"/>
      <c r="Q120" s="145"/>
      <c r="R120" s="145"/>
      <c r="S120" s="148"/>
      <c r="T120" s="147"/>
      <c r="U120" s="144"/>
      <c r="V120" s="144"/>
    </row>
    <row r="121" spans="1:22" ht="14" x14ac:dyDescent="0.15">
      <c r="A121" s="144"/>
      <c r="B121" s="144"/>
      <c r="C121" s="145"/>
      <c r="D121" s="145"/>
      <c r="E121" s="148"/>
      <c r="F121" s="147"/>
      <c r="G121" s="144"/>
      <c r="H121" s="144"/>
      <c r="I121" s="144"/>
      <c r="J121" s="145"/>
      <c r="K121" s="145"/>
      <c r="L121" s="148"/>
      <c r="M121" s="149"/>
      <c r="N121" s="144"/>
      <c r="O121" s="144"/>
      <c r="P121" s="144"/>
      <c r="Q121" s="145"/>
      <c r="R121" s="145"/>
      <c r="S121" s="148"/>
      <c r="T121" s="147"/>
      <c r="U121" s="144"/>
      <c r="V121" s="144"/>
    </row>
    <row r="122" spans="1:22" ht="14" x14ac:dyDescent="0.15">
      <c r="A122" s="144"/>
      <c r="B122" s="144"/>
      <c r="C122" s="145"/>
      <c r="D122" s="145"/>
      <c r="E122" s="148"/>
      <c r="F122" s="147"/>
      <c r="G122" s="144"/>
      <c r="H122" s="144"/>
      <c r="I122" s="144"/>
      <c r="J122" s="145"/>
      <c r="K122" s="145"/>
      <c r="L122" s="148"/>
      <c r="M122" s="149"/>
      <c r="N122" s="144"/>
      <c r="O122" s="144"/>
      <c r="P122" s="144"/>
      <c r="Q122" s="145"/>
      <c r="R122" s="145"/>
      <c r="S122" s="148"/>
      <c r="T122" s="147"/>
      <c r="U122" s="144"/>
      <c r="V122" s="144"/>
    </row>
    <row r="123" spans="1:22" ht="14" x14ac:dyDescent="0.15">
      <c r="A123" s="144"/>
      <c r="B123" s="144"/>
      <c r="C123" s="145"/>
      <c r="D123" s="145"/>
      <c r="E123" s="148"/>
      <c r="F123" s="147"/>
      <c r="G123" s="144"/>
      <c r="H123" s="144"/>
      <c r="I123" s="144"/>
      <c r="J123" s="145"/>
      <c r="K123" s="145"/>
      <c r="L123" s="148"/>
      <c r="M123" s="149"/>
      <c r="N123" s="144"/>
      <c r="O123" s="144"/>
      <c r="P123" s="144"/>
      <c r="Q123" s="145"/>
      <c r="R123" s="145"/>
      <c r="S123" s="148"/>
      <c r="T123" s="147"/>
      <c r="U123" s="144"/>
      <c r="V123" s="144"/>
    </row>
    <row r="124" spans="1:22" ht="14" x14ac:dyDescent="0.15">
      <c r="A124" s="144"/>
      <c r="B124" s="144"/>
      <c r="C124" s="145"/>
      <c r="D124" s="145"/>
      <c r="E124" s="148"/>
      <c r="F124" s="147"/>
      <c r="G124" s="144"/>
      <c r="H124" s="144"/>
      <c r="I124" s="144"/>
      <c r="J124" s="145"/>
      <c r="K124" s="145"/>
      <c r="L124" s="148"/>
      <c r="M124" s="149"/>
      <c r="N124" s="144"/>
      <c r="O124" s="144"/>
      <c r="P124" s="144"/>
      <c r="Q124" s="145"/>
      <c r="R124" s="145"/>
      <c r="S124" s="148"/>
      <c r="T124" s="147"/>
      <c r="U124" s="144"/>
      <c r="V124" s="144"/>
    </row>
    <row r="125" spans="1:22" ht="14" x14ac:dyDescent="0.15">
      <c r="A125" s="144"/>
      <c r="B125" s="144"/>
      <c r="C125" s="145"/>
      <c r="D125" s="145"/>
      <c r="E125" s="148"/>
      <c r="F125" s="147"/>
      <c r="G125" s="144"/>
      <c r="H125" s="144"/>
      <c r="I125" s="144"/>
      <c r="J125" s="145"/>
      <c r="K125" s="145"/>
      <c r="L125" s="148"/>
      <c r="M125" s="149"/>
      <c r="N125" s="144"/>
      <c r="O125" s="144"/>
      <c r="P125" s="144"/>
      <c r="Q125" s="145"/>
      <c r="R125" s="145"/>
      <c r="S125" s="148"/>
      <c r="T125" s="147"/>
      <c r="U125" s="144"/>
      <c r="V125" s="144"/>
    </row>
    <row r="126" spans="1:22" ht="14" x14ac:dyDescent="0.15">
      <c r="A126" s="144"/>
      <c r="B126" s="144"/>
      <c r="C126" s="145"/>
      <c r="D126" s="145"/>
      <c r="E126" s="148"/>
      <c r="F126" s="147"/>
      <c r="G126" s="144"/>
      <c r="H126" s="144"/>
      <c r="I126" s="144"/>
      <c r="J126" s="145"/>
      <c r="K126" s="145"/>
      <c r="L126" s="148"/>
      <c r="M126" s="149"/>
      <c r="N126" s="144"/>
      <c r="O126" s="144"/>
      <c r="P126" s="144"/>
      <c r="Q126" s="145"/>
      <c r="R126" s="145"/>
      <c r="S126" s="148"/>
      <c r="T126" s="147"/>
      <c r="U126" s="144"/>
      <c r="V126" s="144"/>
    </row>
    <row r="127" spans="1:22" ht="14" x14ac:dyDescent="0.15">
      <c r="A127" s="144"/>
      <c r="B127" s="144"/>
      <c r="C127" s="145"/>
      <c r="D127" s="145"/>
      <c r="E127" s="148"/>
      <c r="F127" s="147"/>
      <c r="G127" s="144"/>
      <c r="H127" s="144"/>
      <c r="I127" s="144"/>
      <c r="J127" s="145"/>
      <c r="K127" s="145"/>
      <c r="L127" s="148"/>
      <c r="M127" s="149"/>
      <c r="N127" s="144"/>
      <c r="O127" s="144"/>
      <c r="P127" s="144"/>
      <c r="Q127" s="145"/>
      <c r="R127" s="145"/>
      <c r="S127" s="148"/>
      <c r="T127" s="147"/>
      <c r="U127" s="144"/>
      <c r="V127" s="144"/>
    </row>
    <row r="128" spans="1:22" ht="14" x14ac:dyDescent="0.15">
      <c r="A128" s="144"/>
      <c r="B128" s="144"/>
      <c r="C128" s="145"/>
      <c r="D128" s="145"/>
      <c r="E128" s="148"/>
      <c r="F128" s="147"/>
      <c r="G128" s="144"/>
      <c r="H128" s="144"/>
      <c r="I128" s="144"/>
      <c r="J128" s="145"/>
      <c r="K128" s="145"/>
      <c r="L128" s="148"/>
      <c r="M128" s="149"/>
      <c r="N128" s="144"/>
      <c r="O128" s="144"/>
      <c r="P128" s="144"/>
      <c r="Q128" s="145"/>
      <c r="R128" s="145"/>
      <c r="S128" s="148"/>
      <c r="T128" s="147"/>
      <c r="U128" s="144"/>
      <c r="V128" s="144"/>
    </row>
    <row r="129" spans="1:22" ht="14" x14ac:dyDescent="0.15">
      <c r="A129" s="144"/>
      <c r="B129" s="144"/>
      <c r="C129" s="145"/>
      <c r="D129" s="145"/>
      <c r="E129" s="148"/>
      <c r="F129" s="147"/>
      <c r="G129" s="144"/>
      <c r="H129" s="144"/>
      <c r="I129" s="144"/>
      <c r="J129" s="145"/>
      <c r="K129" s="145"/>
      <c r="L129" s="148"/>
      <c r="M129" s="149"/>
      <c r="N129" s="144"/>
      <c r="O129" s="144"/>
      <c r="P129" s="144"/>
      <c r="Q129" s="145"/>
      <c r="R129" s="145"/>
      <c r="S129" s="148"/>
      <c r="T129" s="147"/>
      <c r="U129" s="144"/>
      <c r="V129" s="144"/>
    </row>
    <row r="130" spans="1:22" ht="14" x14ac:dyDescent="0.15">
      <c r="A130" s="144"/>
      <c r="B130" s="144"/>
      <c r="C130" s="145"/>
      <c r="D130" s="145"/>
      <c r="E130" s="148"/>
      <c r="F130" s="147"/>
      <c r="G130" s="144"/>
      <c r="H130" s="144"/>
      <c r="I130" s="144"/>
      <c r="J130" s="145"/>
      <c r="K130" s="145"/>
      <c r="L130" s="148"/>
      <c r="M130" s="149"/>
      <c r="N130" s="144"/>
      <c r="O130" s="144"/>
      <c r="P130" s="144"/>
      <c r="Q130" s="145"/>
      <c r="R130" s="145"/>
      <c r="S130" s="148"/>
      <c r="T130" s="147"/>
      <c r="U130" s="144"/>
      <c r="V130" s="144"/>
    </row>
    <row r="131" spans="1:22" ht="14" x14ac:dyDescent="0.15">
      <c r="A131" s="144"/>
      <c r="B131" s="144"/>
      <c r="C131" s="145"/>
      <c r="D131" s="145"/>
      <c r="E131" s="148"/>
      <c r="F131" s="147"/>
      <c r="G131" s="144"/>
      <c r="H131" s="144"/>
      <c r="I131" s="144"/>
      <c r="J131" s="145"/>
      <c r="K131" s="145"/>
      <c r="L131" s="148"/>
      <c r="M131" s="149"/>
      <c r="N131" s="144"/>
      <c r="O131" s="144"/>
      <c r="P131" s="144"/>
      <c r="Q131" s="145"/>
      <c r="R131" s="145"/>
      <c r="S131" s="148"/>
      <c r="T131" s="147"/>
      <c r="U131" s="144"/>
      <c r="V131" s="144"/>
    </row>
    <row r="132" spans="1:22" ht="14" x14ac:dyDescent="0.15">
      <c r="A132" s="144"/>
      <c r="B132" s="144"/>
      <c r="C132" s="145"/>
      <c r="D132" s="145"/>
      <c r="E132" s="148"/>
      <c r="F132" s="147"/>
      <c r="G132" s="144"/>
      <c r="H132" s="144"/>
      <c r="I132" s="144"/>
      <c r="J132" s="145"/>
      <c r="K132" s="145"/>
      <c r="L132" s="148"/>
      <c r="M132" s="149"/>
      <c r="N132" s="144"/>
      <c r="O132" s="144"/>
      <c r="P132" s="144"/>
      <c r="Q132" s="145"/>
      <c r="R132" s="145"/>
      <c r="S132" s="148"/>
      <c r="T132" s="147"/>
      <c r="U132" s="144"/>
      <c r="V132" s="144"/>
    </row>
    <row r="133" spans="1:22" ht="14" x14ac:dyDescent="0.15">
      <c r="A133" s="144"/>
      <c r="B133" s="144"/>
      <c r="C133" s="145"/>
      <c r="D133" s="145"/>
      <c r="E133" s="148"/>
      <c r="F133" s="147"/>
      <c r="G133" s="144"/>
      <c r="H133" s="144"/>
      <c r="I133" s="144"/>
      <c r="J133" s="145"/>
      <c r="K133" s="145"/>
      <c r="L133" s="148"/>
      <c r="M133" s="149"/>
      <c r="N133" s="144"/>
      <c r="O133" s="144"/>
      <c r="P133" s="144"/>
      <c r="Q133" s="145"/>
      <c r="R133" s="145"/>
      <c r="S133" s="148"/>
      <c r="T133" s="147"/>
      <c r="U133" s="144"/>
      <c r="V133" s="144"/>
    </row>
    <row r="134" spans="1:22" ht="14" x14ac:dyDescent="0.15">
      <c r="A134" s="144"/>
      <c r="B134" s="144"/>
      <c r="C134" s="145"/>
      <c r="D134" s="145"/>
      <c r="E134" s="148"/>
      <c r="F134" s="147"/>
      <c r="G134" s="144"/>
      <c r="H134" s="144"/>
      <c r="I134" s="144"/>
      <c r="J134" s="145"/>
      <c r="K134" s="145"/>
      <c r="L134" s="148"/>
      <c r="M134" s="149"/>
      <c r="N134" s="144"/>
      <c r="O134" s="144"/>
      <c r="P134" s="144"/>
      <c r="Q134" s="145"/>
      <c r="R134" s="145"/>
      <c r="S134" s="148"/>
      <c r="T134" s="147"/>
      <c r="U134" s="144"/>
      <c r="V134" s="144"/>
    </row>
    <row r="135" spans="1:22" ht="14" x14ac:dyDescent="0.15">
      <c r="A135" s="144"/>
      <c r="B135" s="144"/>
      <c r="C135" s="145"/>
      <c r="D135" s="145"/>
      <c r="E135" s="148"/>
      <c r="F135" s="147"/>
      <c r="G135" s="144"/>
      <c r="H135" s="144"/>
      <c r="I135" s="144"/>
      <c r="J135" s="145"/>
      <c r="K135" s="145"/>
      <c r="L135" s="148"/>
      <c r="M135" s="149"/>
      <c r="N135" s="144"/>
      <c r="O135" s="144"/>
      <c r="P135" s="144"/>
      <c r="Q135" s="145"/>
      <c r="R135" s="145"/>
      <c r="S135" s="148"/>
      <c r="T135" s="147"/>
      <c r="U135" s="144"/>
      <c r="V135" s="144"/>
    </row>
    <row r="136" spans="1:22" ht="14" x14ac:dyDescent="0.15">
      <c r="A136" s="144"/>
      <c r="B136" s="144"/>
      <c r="C136" s="145"/>
      <c r="D136" s="145"/>
      <c r="E136" s="148"/>
      <c r="F136" s="147"/>
      <c r="G136" s="144"/>
      <c r="H136" s="144"/>
      <c r="I136" s="144"/>
      <c r="J136" s="145"/>
      <c r="K136" s="145"/>
      <c r="L136" s="148"/>
      <c r="M136" s="149"/>
      <c r="N136" s="144"/>
      <c r="O136" s="144"/>
      <c r="P136" s="144"/>
      <c r="Q136" s="145"/>
      <c r="R136" s="145"/>
      <c r="S136" s="148"/>
      <c r="T136" s="147"/>
      <c r="U136" s="144"/>
      <c r="V136" s="144"/>
    </row>
    <row r="137" spans="1:22" ht="14" x14ac:dyDescent="0.15">
      <c r="A137" s="144"/>
      <c r="B137" s="144"/>
      <c r="C137" s="145"/>
      <c r="D137" s="145"/>
      <c r="E137" s="148"/>
      <c r="F137" s="147"/>
      <c r="G137" s="144"/>
      <c r="H137" s="144"/>
      <c r="I137" s="144"/>
      <c r="J137" s="145"/>
      <c r="K137" s="145"/>
      <c r="L137" s="148"/>
      <c r="M137" s="149"/>
      <c r="N137" s="144"/>
      <c r="O137" s="144"/>
      <c r="P137" s="144"/>
      <c r="Q137" s="145"/>
      <c r="R137" s="145"/>
      <c r="S137" s="148"/>
      <c r="T137" s="147"/>
      <c r="U137" s="144"/>
      <c r="V137" s="144"/>
    </row>
    <row r="138" spans="1:22" ht="14" x14ac:dyDescent="0.15">
      <c r="A138" s="144"/>
      <c r="B138" s="144"/>
      <c r="C138" s="145"/>
      <c r="D138" s="145"/>
      <c r="E138" s="148"/>
      <c r="F138" s="147"/>
      <c r="G138" s="144"/>
      <c r="H138" s="144"/>
      <c r="I138" s="144"/>
      <c r="J138" s="145"/>
      <c r="K138" s="145"/>
      <c r="L138" s="148"/>
      <c r="M138" s="149"/>
      <c r="N138" s="144"/>
      <c r="O138" s="144"/>
      <c r="P138" s="144"/>
      <c r="Q138" s="145"/>
      <c r="R138" s="145"/>
      <c r="S138" s="148"/>
      <c r="T138" s="147"/>
      <c r="U138" s="144"/>
      <c r="V138" s="144"/>
    </row>
    <row r="139" spans="1:22" ht="14" x14ac:dyDescent="0.15">
      <c r="A139" s="144"/>
      <c r="B139" s="144"/>
      <c r="C139" s="145"/>
      <c r="D139" s="145"/>
      <c r="E139" s="148"/>
      <c r="F139" s="147"/>
      <c r="G139" s="144"/>
      <c r="H139" s="144"/>
      <c r="I139" s="144"/>
      <c r="J139" s="145"/>
      <c r="K139" s="145"/>
      <c r="L139" s="148"/>
      <c r="M139" s="149"/>
      <c r="N139" s="144"/>
      <c r="O139" s="144"/>
      <c r="P139" s="144"/>
      <c r="Q139" s="145"/>
      <c r="R139" s="145"/>
      <c r="S139" s="148"/>
      <c r="T139" s="147"/>
      <c r="U139" s="144"/>
      <c r="V139" s="144"/>
    </row>
    <row r="140" spans="1:22" ht="14" x14ac:dyDescent="0.15">
      <c r="A140" s="144"/>
      <c r="B140" s="144"/>
      <c r="C140" s="145"/>
      <c r="D140" s="145"/>
      <c r="E140" s="148"/>
      <c r="F140" s="147"/>
      <c r="G140" s="144"/>
      <c r="H140" s="144"/>
      <c r="I140" s="144"/>
      <c r="J140" s="145"/>
      <c r="K140" s="145"/>
      <c r="L140" s="148"/>
      <c r="M140" s="149"/>
      <c r="N140" s="144"/>
      <c r="O140" s="144"/>
      <c r="P140" s="144"/>
      <c r="Q140" s="145"/>
      <c r="R140" s="145"/>
      <c r="S140" s="148"/>
      <c r="T140" s="147"/>
      <c r="U140" s="144"/>
      <c r="V140" s="144"/>
    </row>
    <row r="141" spans="1:22" ht="14" x14ac:dyDescent="0.15">
      <c r="A141" s="144"/>
      <c r="B141" s="144"/>
      <c r="C141" s="145"/>
      <c r="D141" s="145"/>
      <c r="E141" s="148"/>
      <c r="F141" s="147"/>
      <c r="G141" s="144"/>
      <c r="H141" s="144"/>
      <c r="I141" s="144"/>
      <c r="J141" s="145"/>
      <c r="K141" s="145"/>
      <c r="L141" s="148"/>
      <c r="M141" s="149"/>
      <c r="N141" s="144"/>
      <c r="O141" s="144"/>
      <c r="P141" s="144"/>
      <c r="Q141" s="145"/>
      <c r="R141" s="145"/>
      <c r="S141" s="148"/>
      <c r="T141" s="147"/>
      <c r="U141" s="144"/>
      <c r="V141" s="144"/>
    </row>
    <row r="142" spans="1:22" ht="14" x14ac:dyDescent="0.15">
      <c r="A142" s="144"/>
      <c r="B142" s="144"/>
      <c r="C142" s="145"/>
      <c r="D142" s="145"/>
      <c r="E142" s="148"/>
      <c r="F142" s="147"/>
      <c r="G142" s="144"/>
      <c r="H142" s="144"/>
      <c r="I142" s="144"/>
      <c r="J142" s="145"/>
      <c r="K142" s="145"/>
      <c r="L142" s="148"/>
      <c r="M142" s="149"/>
      <c r="N142" s="144"/>
      <c r="O142" s="144"/>
      <c r="P142" s="144"/>
      <c r="Q142" s="145"/>
      <c r="R142" s="145"/>
      <c r="S142" s="148"/>
      <c r="T142" s="147"/>
      <c r="U142" s="144"/>
      <c r="V142" s="144"/>
    </row>
    <row r="143" spans="1:22" ht="14" x14ac:dyDescent="0.15">
      <c r="A143" s="144"/>
      <c r="B143" s="144"/>
      <c r="C143" s="145"/>
      <c r="D143" s="145"/>
      <c r="E143" s="148"/>
      <c r="F143" s="147"/>
      <c r="G143" s="144"/>
      <c r="H143" s="144"/>
      <c r="I143" s="144"/>
      <c r="J143" s="145"/>
      <c r="K143" s="145"/>
      <c r="L143" s="148"/>
      <c r="M143" s="149"/>
      <c r="N143" s="144"/>
      <c r="O143" s="144"/>
      <c r="P143" s="144"/>
      <c r="Q143" s="145"/>
      <c r="R143" s="145"/>
      <c r="S143" s="148"/>
      <c r="T143" s="147"/>
      <c r="U143" s="144"/>
      <c r="V143" s="144"/>
    </row>
    <row r="144" spans="1:22" ht="14" x14ac:dyDescent="0.15">
      <c r="A144" s="144"/>
      <c r="B144" s="144"/>
      <c r="C144" s="145"/>
      <c r="D144" s="145"/>
      <c r="E144" s="148"/>
      <c r="F144" s="147"/>
      <c r="G144" s="144"/>
      <c r="H144" s="144"/>
      <c r="I144" s="144"/>
      <c r="J144" s="145"/>
      <c r="K144" s="145"/>
      <c r="L144" s="148"/>
      <c r="M144" s="149"/>
      <c r="N144" s="144"/>
      <c r="O144" s="144"/>
      <c r="P144" s="144"/>
      <c r="Q144" s="145"/>
      <c r="R144" s="145"/>
      <c r="S144" s="148"/>
      <c r="T144" s="147"/>
      <c r="U144" s="144"/>
      <c r="V144" s="144"/>
    </row>
    <row r="145" spans="1:22" ht="14" x14ac:dyDescent="0.15">
      <c r="A145" s="144"/>
      <c r="B145" s="144"/>
      <c r="C145" s="145"/>
      <c r="D145" s="145"/>
      <c r="E145" s="148"/>
      <c r="F145" s="147"/>
      <c r="G145" s="144"/>
      <c r="H145" s="144"/>
      <c r="I145" s="144"/>
      <c r="J145" s="145"/>
      <c r="K145" s="145"/>
      <c r="L145" s="148"/>
      <c r="M145" s="149"/>
      <c r="N145" s="144"/>
      <c r="O145" s="144"/>
      <c r="P145" s="144"/>
      <c r="Q145" s="145"/>
      <c r="R145" s="145"/>
      <c r="S145" s="148"/>
      <c r="T145" s="147"/>
      <c r="U145" s="144"/>
      <c r="V145" s="144"/>
    </row>
    <row r="146" spans="1:22" ht="14" x14ac:dyDescent="0.15">
      <c r="A146" s="144"/>
      <c r="B146" s="144"/>
      <c r="C146" s="145"/>
      <c r="D146" s="145"/>
      <c r="E146" s="148"/>
      <c r="F146" s="147"/>
      <c r="G146" s="144"/>
      <c r="H146" s="144"/>
      <c r="I146" s="144"/>
      <c r="J146" s="145"/>
      <c r="K146" s="145"/>
      <c r="L146" s="148"/>
      <c r="M146" s="149"/>
      <c r="N146" s="144"/>
      <c r="O146" s="144"/>
      <c r="P146" s="144"/>
      <c r="Q146" s="145"/>
      <c r="R146" s="145"/>
      <c r="S146" s="148"/>
      <c r="T146" s="147"/>
      <c r="U146" s="144"/>
      <c r="V146" s="144"/>
    </row>
    <row r="147" spans="1:22" ht="14" x14ac:dyDescent="0.15">
      <c r="A147" s="144"/>
      <c r="B147" s="144"/>
      <c r="C147" s="145"/>
      <c r="D147" s="145"/>
      <c r="E147" s="148"/>
      <c r="F147" s="147"/>
      <c r="G147" s="144"/>
      <c r="H147" s="144"/>
      <c r="I147" s="144"/>
      <c r="J147" s="145"/>
      <c r="K147" s="145"/>
      <c r="L147" s="148"/>
      <c r="M147" s="149"/>
      <c r="N147" s="144"/>
      <c r="O147" s="144"/>
      <c r="P147" s="144"/>
      <c r="Q147" s="145"/>
      <c r="R147" s="145"/>
      <c r="S147" s="148"/>
      <c r="T147" s="147"/>
      <c r="U147" s="144"/>
      <c r="V147" s="144"/>
    </row>
    <row r="148" spans="1:22" ht="14" x14ac:dyDescent="0.15">
      <c r="A148" s="144"/>
      <c r="B148" s="144"/>
      <c r="C148" s="145"/>
      <c r="D148" s="145"/>
      <c r="E148" s="148"/>
      <c r="F148" s="147"/>
      <c r="G148" s="144"/>
      <c r="H148" s="144"/>
      <c r="I148" s="144"/>
      <c r="J148" s="145"/>
      <c r="K148" s="145"/>
      <c r="L148" s="148"/>
      <c r="M148" s="149"/>
      <c r="N148" s="144"/>
      <c r="O148" s="144"/>
      <c r="P148" s="144"/>
      <c r="Q148" s="145"/>
      <c r="R148" s="145"/>
      <c r="S148" s="148"/>
      <c r="T148" s="147"/>
      <c r="U148" s="144"/>
      <c r="V148" s="144"/>
    </row>
    <row r="149" spans="1:22" ht="14" x14ac:dyDescent="0.15">
      <c r="A149" s="144"/>
      <c r="B149" s="144"/>
      <c r="C149" s="145"/>
      <c r="D149" s="145"/>
      <c r="E149" s="148"/>
      <c r="F149" s="147"/>
      <c r="G149" s="144"/>
      <c r="H149" s="144"/>
      <c r="I149" s="144"/>
      <c r="J149" s="145"/>
      <c r="K149" s="145"/>
      <c r="L149" s="148"/>
      <c r="M149" s="149"/>
      <c r="N149" s="144"/>
      <c r="O149" s="144"/>
      <c r="P149" s="144"/>
      <c r="Q149" s="145"/>
      <c r="R149" s="145"/>
      <c r="S149" s="148"/>
      <c r="T149" s="147"/>
      <c r="U149" s="144"/>
      <c r="V149" s="144"/>
    </row>
    <row r="150" spans="1:22" ht="14" x14ac:dyDescent="0.15">
      <c r="A150" s="144"/>
      <c r="B150" s="144"/>
      <c r="C150" s="145"/>
      <c r="D150" s="145"/>
      <c r="E150" s="148"/>
      <c r="F150" s="147"/>
      <c r="G150" s="144"/>
      <c r="H150" s="144"/>
      <c r="I150" s="144"/>
      <c r="J150" s="145"/>
      <c r="K150" s="145"/>
      <c r="L150" s="148"/>
      <c r="M150" s="149"/>
      <c r="N150" s="144"/>
      <c r="O150" s="144"/>
      <c r="P150" s="144"/>
      <c r="Q150" s="145"/>
      <c r="R150" s="145"/>
      <c r="S150" s="148"/>
      <c r="T150" s="147"/>
      <c r="U150" s="144"/>
      <c r="V150" s="144"/>
    </row>
    <row r="151" spans="1:22" ht="14" x14ac:dyDescent="0.15">
      <c r="A151" s="144"/>
      <c r="B151" s="144"/>
      <c r="C151" s="145"/>
      <c r="D151" s="145"/>
      <c r="E151" s="148"/>
      <c r="F151" s="147"/>
      <c r="G151" s="144"/>
      <c r="H151" s="144"/>
      <c r="I151" s="144"/>
      <c r="J151" s="145"/>
      <c r="K151" s="145"/>
      <c r="L151" s="148"/>
      <c r="M151" s="149"/>
      <c r="N151" s="144"/>
      <c r="O151" s="144"/>
      <c r="P151" s="144"/>
      <c r="Q151" s="145"/>
      <c r="R151" s="145"/>
      <c r="S151" s="148"/>
      <c r="T151" s="147"/>
      <c r="U151" s="144"/>
      <c r="V151" s="144"/>
    </row>
    <row r="152" spans="1:22" ht="14" x14ac:dyDescent="0.15">
      <c r="A152" s="144"/>
      <c r="B152" s="144"/>
      <c r="C152" s="145"/>
      <c r="D152" s="145"/>
      <c r="E152" s="148"/>
      <c r="F152" s="147"/>
      <c r="G152" s="144"/>
      <c r="H152" s="144"/>
      <c r="I152" s="144"/>
      <c r="J152" s="145"/>
      <c r="K152" s="145"/>
      <c r="L152" s="148"/>
      <c r="M152" s="149"/>
      <c r="N152" s="144"/>
      <c r="O152" s="144"/>
      <c r="P152" s="144"/>
      <c r="Q152" s="145"/>
      <c r="R152" s="145"/>
      <c r="S152" s="148"/>
      <c r="T152" s="147"/>
      <c r="U152" s="144"/>
      <c r="V152" s="144"/>
    </row>
    <row r="153" spans="1:22" ht="14" x14ac:dyDescent="0.15">
      <c r="A153" s="144"/>
      <c r="B153" s="144"/>
      <c r="C153" s="145"/>
      <c r="D153" s="145"/>
      <c r="E153" s="148"/>
      <c r="F153" s="147"/>
      <c r="G153" s="144"/>
      <c r="H153" s="144"/>
      <c r="I153" s="144"/>
      <c r="J153" s="145"/>
      <c r="K153" s="145"/>
      <c r="L153" s="148"/>
      <c r="M153" s="149"/>
      <c r="N153" s="144"/>
      <c r="O153" s="144"/>
      <c r="P153" s="144"/>
      <c r="Q153" s="145"/>
      <c r="R153" s="145"/>
      <c r="S153" s="148"/>
      <c r="T153" s="147"/>
      <c r="U153" s="144"/>
      <c r="V153" s="144"/>
    </row>
    <row r="154" spans="1:22" ht="14" x14ac:dyDescent="0.15">
      <c r="A154" s="144"/>
      <c r="B154" s="144"/>
      <c r="C154" s="145"/>
      <c r="D154" s="145"/>
      <c r="E154" s="148"/>
      <c r="F154" s="147"/>
      <c r="G154" s="144"/>
      <c r="H154" s="144"/>
      <c r="I154" s="144"/>
      <c r="J154" s="145"/>
      <c r="K154" s="145"/>
      <c r="L154" s="148"/>
      <c r="M154" s="149"/>
      <c r="N154" s="144"/>
      <c r="O154" s="144"/>
      <c r="P154" s="144"/>
      <c r="Q154" s="145"/>
      <c r="R154" s="145"/>
      <c r="S154" s="148"/>
      <c r="T154" s="147"/>
      <c r="U154" s="144"/>
      <c r="V154" s="144"/>
    </row>
    <row r="155" spans="1:22" ht="14" x14ac:dyDescent="0.15">
      <c r="A155" s="144"/>
      <c r="B155" s="144"/>
      <c r="C155" s="145"/>
      <c r="D155" s="145"/>
      <c r="E155" s="148"/>
      <c r="F155" s="147"/>
      <c r="G155" s="144"/>
      <c r="H155" s="144"/>
      <c r="I155" s="144"/>
      <c r="J155" s="145"/>
      <c r="K155" s="145"/>
      <c r="L155" s="148"/>
      <c r="M155" s="149"/>
      <c r="N155" s="144"/>
      <c r="O155" s="144"/>
      <c r="P155" s="144"/>
      <c r="Q155" s="145"/>
      <c r="R155" s="145"/>
      <c r="S155" s="148"/>
      <c r="T155" s="147"/>
      <c r="U155" s="144"/>
      <c r="V155" s="144"/>
    </row>
    <row r="156" spans="1:22" ht="14" x14ac:dyDescent="0.15">
      <c r="A156" s="144"/>
      <c r="B156" s="144"/>
      <c r="C156" s="145"/>
      <c r="D156" s="145"/>
      <c r="E156" s="148"/>
      <c r="F156" s="147"/>
      <c r="G156" s="144"/>
      <c r="H156" s="144"/>
      <c r="I156" s="144"/>
      <c r="J156" s="145"/>
      <c r="K156" s="145"/>
      <c r="L156" s="148"/>
      <c r="M156" s="149"/>
      <c r="N156" s="144"/>
      <c r="O156" s="144"/>
      <c r="P156" s="144"/>
      <c r="Q156" s="145"/>
      <c r="R156" s="145"/>
      <c r="S156" s="148"/>
      <c r="T156" s="147"/>
      <c r="U156" s="144"/>
      <c r="V156" s="144"/>
    </row>
    <row r="157" spans="1:22" ht="14" x14ac:dyDescent="0.15">
      <c r="A157" s="144"/>
      <c r="B157" s="144"/>
      <c r="C157" s="145"/>
      <c r="D157" s="145"/>
      <c r="E157" s="148"/>
      <c r="F157" s="147"/>
      <c r="G157" s="144"/>
      <c r="H157" s="144"/>
      <c r="I157" s="144"/>
      <c r="J157" s="145"/>
      <c r="K157" s="145"/>
      <c r="L157" s="148"/>
      <c r="M157" s="149"/>
      <c r="N157" s="144"/>
      <c r="O157" s="144"/>
      <c r="P157" s="144"/>
      <c r="Q157" s="145"/>
      <c r="R157" s="145"/>
      <c r="S157" s="148"/>
      <c r="T157" s="147"/>
      <c r="U157" s="144"/>
      <c r="V157" s="144"/>
    </row>
    <row r="158" spans="1:22" ht="14" x14ac:dyDescent="0.15">
      <c r="A158" s="144"/>
      <c r="B158" s="144"/>
      <c r="C158" s="145"/>
      <c r="D158" s="145"/>
      <c r="E158" s="148"/>
      <c r="F158" s="147"/>
      <c r="G158" s="144"/>
      <c r="H158" s="144"/>
      <c r="I158" s="144"/>
      <c r="J158" s="145"/>
      <c r="K158" s="145"/>
      <c r="L158" s="148"/>
      <c r="M158" s="149"/>
      <c r="N158" s="144"/>
      <c r="O158" s="144"/>
      <c r="P158" s="144"/>
      <c r="Q158" s="145"/>
      <c r="R158" s="145"/>
      <c r="S158" s="148"/>
      <c r="T158" s="147"/>
      <c r="U158" s="144"/>
      <c r="V158" s="144"/>
    </row>
    <row r="159" spans="1:22" ht="14" x14ac:dyDescent="0.15">
      <c r="A159" s="144"/>
      <c r="B159" s="144"/>
      <c r="C159" s="145"/>
      <c r="D159" s="145"/>
      <c r="E159" s="148"/>
      <c r="F159" s="147"/>
      <c r="G159" s="144"/>
      <c r="H159" s="144"/>
      <c r="I159" s="144"/>
      <c r="J159" s="145"/>
      <c r="K159" s="145"/>
      <c r="L159" s="148"/>
      <c r="M159" s="149"/>
      <c r="N159" s="144"/>
      <c r="O159" s="144"/>
      <c r="P159" s="144"/>
      <c r="Q159" s="145"/>
      <c r="R159" s="145"/>
      <c r="S159" s="148"/>
      <c r="T159" s="147"/>
      <c r="U159" s="144"/>
      <c r="V159" s="144"/>
    </row>
    <row r="160" spans="1:22" ht="14" x14ac:dyDescent="0.15">
      <c r="A160" s="144"/>
      <c r="B160" s="144"/>
      <c r="C160" s="145"/>
      <c r="D160" s="145"/>
      <c r="E160" s="148"/>
      <c r="F160" s="147"/>
      <c r="G160" s="144"/>
      <c r="H160" s="144"/>
      <c r="I160" s="144"/>
      <c r="J160" s="145"/>
      <c r="K160" s="145"/>
      <c r="L160" s="148"/>
      <c r="M160" s="149"/>
      <c r="N160" s="144"/>
      <c r="O160" s="144"/>
      <c r="P160" s="144"/>
      <c r="Q160" s="145"/>
      <c r="R160" s="145"/>
      <c r="S160" s="148"/>
      <c r="T160" s="147"/>
      <c r="U160" s="144"/>
      <c r="V160" s="144"/>
    </row>
    <row r="161" spans="1:22" ht="14" x14ac:dyDescent="0.15">
      <c r="A161" s="144"/>
      <c r="B161" s="144"/>
      <c r="C161" s="145"/>
      <c r="D161" s="145"/>
      <c r="E161" s="148"/>
      <c r="F161" s="147"/>
      <c r="G161" s="144"/>
      <c r="H161" s="144"/>
      <c r="I161" s="144"/>
      <c r="J161" s="145"/>
      <c r="K161" s="145"/>
      <c r="L161" s="148"/>
      <c r="M161" s="149"/>
      <c r="N161" s="144"/>
      <c r="O161" s="144"/>
      <c r="P161" s="144"/>
      <c r="Q161" s="145"/>
      <c r="R161" s="145"/>
      <c r="S161" s="148"/>
      <c r="T161" s="147"/>
      <c r="U161" s="144"/>
      <c r="V161" s="144"/>
    </row>
    <row r="162" spans="1:22" ht="14" x14ac:dyDescent="0.15">
      <c r="A162" s="144"/>
      <c r="B162" s="144"/>
      <c r="C162" s="145"/>
      <c r="D162" s="145"/>
      <c r="E162" s="148"/>
      <c r="F162" s="147"/>
      <c r="G162" s="144"/>
      <c r="H162" s="144"/>
      <c r="I162" s="144"/>
      <c r="J162" s="145"/>
      <c r="K162" s="145"/>
      <c r="L162" s="148"/>
      <c r="M162" s="149"/>
      <c r="N162" s="144"/>
      <c r="O162" s="144"/>
      <c r="P162" s="144"/>
      <c r="Q162" s="145"/>
      <c r="R162" s="145"/>
      <c r="S162" s="148"/>
      <c r="T162" s="147"/>
      <c r="U162" s="144"/>
      <c r="V162" s="144"/>
    </row>
    <row r="163" spans="1:22" ht="14" x14ac:dyDescent="0.15">
      <c r="A163" s="144"/>
      <c r="B163" s="144"/>
      <c r="C163" s="145"/>
      <c r="D163" s="145"/>
      <c r="E163" s="148"/>
      <c r="F163" s="147"/>
      <c r="G163" s="144"/>
      <c r="H163" s="144"/>
      <c r="I163" s="144"/>
      <c r="J163" s="145"/>
      <c r="K163" s="145"/>
      <c r="L163" s="148"/>
      <c r="M163" s="149"/>
      <c r="N163" s="144"/>
      <c r="O163" s="144"/>
      <c r="P163" s="144"/>
      <c r="Q163" s="145"/>
      <c r="R163" s="145"/>
      <c r="S163" s="148"/>
      <c r="T163" s="147"/>
      <c r="U163" s="144"/>
      <c r="V163" s="144"/>
    </row>
    <row r="164" spans="1:22" ht="14" x14ac:dyDescent="0.15">
      <c r="A164" s="144"/>
      <c r="B164" s="144"/>
      <c r="C164" s="145"/>
      <c r="D164" s="145"/>
      <c r="E164" s="148"/>
      <c r="F164" s="147"/>
      <c r="G164" s="144"/>
      <c r="H164" s="144"/>
      <c r="I164" s="144"/>
      <c r="J164" s="145"/>
      <c r="K164" s="145"/>
      <c r="L164" s="148"/>
      <c r="M164" s="149"/>
      <c r="N164" s="144"/>
      <c r="O164" s="144"/>
      <c r="P164" s="144"/>
      <c r="Q164" s="145"/>
      <c r="R164" s="145"/>
      <c r="S164" s="148"/>
      <c r="T164" s="147"/>
      <c r="U164" s="144"/>
      <c r="V164" s="144"/>
    </row>
    <row r="165" spans="1:22" ht="14" x14ac:dyDescent="0.15">
      <c r="A165" s="144"/>
      <c r="B165" s="144"/>
      <c r="C165" s="145"/>
      <c r="D165" s="145"/>
      <c r="E165" s="148"/>
      <c r="F165" s="147"/>
      <c r="G165" s="144"/>
      <c r="H165" s="144"/>
      <c r="I165" s="144"/>
      <c r="J165" s="145"/>
      <c r="K165" s="145"/>
      <c r="L165" s="148"/>
      <c r="M165" s="149"/>
      <c r="N165" s="144"/>
      <c r="O165" s="144"/>
      <c r="P165" s="144"/>
      <c r="Q165" s="145"/>
      <c r="R165" s="145"/>
      <c r="S165" s="148"/>
      <c r="T165" s="147"/>
      <c r="U165" s="144"/>
      <c r="V165" s="144"/>
    </row>
    <row r="166" spans="1:22" ht="14" x14ac:dyDescent="0.15">
      <c r="A166" s="144"/>
      <c r="B166" s="144"/>
      <c r="C166" s="145"/>
      <c r="D166" s="145"/>
      <c r="E166" s="148"/>
      <c r="F166" s="147"/>
      <c r="G166" s="144"/>
      <c r="H166" s="144"/>
      <c r="I166" s="144"/>
      <c r="J166" s="145"/>
      <c r="K166" s="145"/>
      <c r="L166" s="148"/>
      <c r="M166" s="149"/>
      <c r="N166" s="144"/>
      <c r="O166" s="144"/>
      <c r="P166" s="144"/>
      <c r="Q166" s="145"/>
      <c r="R166" s="145"/>
      <c r="S166" s="148"/>
      <c r="T166" s="147"/>
      <c r="U166" s="144"/>
      <c r="V166" s="144"/>
    </row>
    <row r="167" spans="1:22" ht="14" x14ac:dyDescent="0.15">
      <c r="A167" s="144"/>
      <c r="B167" s="144"/>
      <c r="C167" s="145"/>
      <c r="D167" s="145"/>
      <c r="E167" s="148"/>
      <c r="F167" s="147"/>
      <c r="G167" s="144"/>
      <c r="H167" s="144"/>
      <c r="I167" s="144"/>
      <c r="J167" s="145"/>
      <c r="K167" s="145"/>
      <c r="L167" s="148"/>
      <c r="M167" s="149"/>
      <c r="N167" s="144"/>
      <c r="O167" s="144"/>
      <c r="P167" s="144"/>
      <c r="Q167" s="145"/>
      <c r="R167" s="145"/>
      <c r="S167" s="148"/>
      <c r="T167" s="147"/>
      <c r="U167" s="144"/>
      <c r="V167" s="144"/>
    </row>
    <row r="168" spans="1:22" ht="14" x14ac:dyDescent="0.15">
      <c r="A168" s="144"/>
      <c r="B168" s="144"/>
      <c r="C168" s="145"/>
      <c r="D168" s="145"/>
      <c r="E168" s="148"/>
      <c r="F168" s="147"/>
      <c r="G168" s="144"/>
      <c r="H168" s="144"/>
      <c r="I168" s="144"/>
      <c r="J168" s="145"/>
      <c r="K168" s="145"/>
      <c r="L168" s="148"/>
      <c r="M168" s="149"/>
      <c r="N168" s="144"/>
      <c r="O168" s="144"/>
      <c r="P168" s="144"/>
      <c r="Q168" s="145"/>
      <c r="R168" s="145"/>
      <c r="S168" s="148"/>
      <c r="T168" s="147"/>
      <c r="U168" s="144"/>
      <c r="V168" s="144"/>
    </row>
    <row r="169" spans="1:22" ht="14" x14ac:dyDescent="0.15">
      <c r="A169" s="144"/>
      <c r="B169" s="144"/>
      <c r="C169" s="145"/>
      <c r="D169" s="145"/>
      <c r="E169" s="148"/>
      <c r="F169" s="147"/>
      <c r="G169" s="144"/>
      <c r="H169" s="144"/>
      <c r="I169" s="144"/>
      <c r="J169" s="145"/>
      <c r="K169" s="145"/>
      <c r="L169" s="148"/>
      <c r="M169" s="149"/>
      <c r="N169" s="144"/>
      <c r="O169" s="144"/>
      <c r="P169" s="144"/>
      <c r="Q169" s="145"/>
      <c r="R169" s="145"/>
      <c r="S169" s="148"/>
      <c r="T169" s="147"/>
      <c r="U169" s="144"/>
      <c r="V169" s="144"/>
    </row>
    <row r="170" spans="1:22" ht="14" x14ac:dyDescent="0.15">
      <c r="A170" s="144"/>
      <c r="B170" s="144"/>
      <c r="C170" s="145"/>
      <c r="D170" s="145"/>
      <c r="E170" s="148"/>
      <c r="F170" s="147"/>
      <c r="G170" s="144"/>
      <c r="H170" s="144"/>
      <c r="I170" s="144"/>
      <c r="J170" s="145"/>
      <c r="K170" s="145"/>
      <c r="L170" s="148"/>
      <c r="M170" s="149"/>
      <c r="N170" s="144"/>
      <c r="O170" s="144"/>
      <c r="P170" s="144"/>
      <c r="Q170" s="145"/>
      <c r="R170" s="145"/>
      <c r="S170" s="148"/>
      <c r="T170" s="147"/>
      <c r="U170" s="144"/>
      <c r="V170" s="144"/>
    </row>
    <row r="171" spans="1:22" ht="14" x14ac:dyDescent="0.15">
      <c r="A171" s="144"/>
      <c r="B171" s="144"/>
      <c r="C171" s="145"/>
      <c r="D171" s="145"/>
      <c r="E171" s="148"/>
      <c r="F171" s="147"/>
      <c r="G171" s="144"/>
      <c r="H171" s="144"/>
      <c r="I171" s="144"/>
      <c r="J171" s="145"/>
      <c r="K171" s="145"/>
      <c r="L171" s="148"/>
      <c r="M171" s="149"/>
      <c r="N171" s="144"/>
      <c r="O171" s="144"/>
      <c r="P171" s="144"/>
      <c r="Q171" s="145"/>
      <c r="R171" s="145"/>
      <c r="S171" s="148"/>
      <c r="T171" s="147"/>
      <c r="U171" s="144"/>
      <c r="V171" s="144"/>
    </row>
    <row r="172" spans="1:22" ht="14" x14ac:dyDescent="0.15">
      <c r="A172" s="144"/>
      <c r="B172" s="144"/>
      <c r="C172" s="145"/>
      <c r="D172" s="145"/>
      <c r="E172" s="148"/>
      <c r="F172" s="147"/>
      <c r="G172" s="144"/>
      <c r="H172" s="144"/>
      <c r="I172" s="144"/>
      <c r="J172" s="145"/>
      <c r="K172" s="145"/>
      <c r="L172" s="148"/>
      <c r="M172" s="149"/>
      <c r="N172" s="144"/>
      <c r="O172" s="144"/>
      <c r="P172" s="144"/>
      <c r="Q172" s="145"/>
      <c r="R172" s="145"/>
      <c r="S172" s="148"/>
      <c r="T172" s="147"/>
      <c r="U172" s="144"/>
      <c r="V172" s="144"/>
    </row>
    <row r="173" spans="1:22" ht="14" x14ac:dyDescent="0.15">
      <c r="A173" s="144"/>
      <c r="B173" s="144"/>
      <c r="C173" s="145"/>
      <c r="D173" s="145"/>
      <c r="E173" s="148"/>
      <c r="F173" s="147"/>
      <c r="G173" s="144"/>
      <c r="H173" s="144"/>
      <c r="I173" s="144"/>
      <c r="J173" s="145"/>
      <c r="K173" s="145"/>
      <c r="L173" s="148"/>
      <c r="M173" s="149"/>
      <c r="N173" s="144"/>
      <c r="O173" s="144"/>
      <c r="P173" s="144"/>
      <c r="Q173" s="145"/>
      <c r="R173" s="145"/>
      <c r="S173" s="148"/>
      <c r="T173" s="147"/>
      <c r="U173" s="144"/>
      <c r="V173" s="144"/>
    </row>
    <row r="174" spans="1:22" ht="14" x14ac:dyDescent="0.15">
      <c r="A174" s="144"/>
      <c r="B174" s="144"/>
      <c r="C174" s="145"/>
      <c r="D174" s="145"/>
      <c r="E174" s="148"/>
      <c r="F174" s="147"/>
      <c r="G174" s="144"/>
      <c r="H174" s="144"/>
      <c r="I174" s="144"/>
      <c r="J174" s="145"/>
      <c r="K174" s="145"/>
      <c r="L174" s="148"/>
      <c r="M174" s="149"/>
      <c r="N174" s="144"/>
      <c r="O174" s="144"/>
      <c r="P174" s="144"/>
      <c r="Q174" s="145"/>
      <c r="R174" s="145"/>
      <c r="S174" s="148"/>
      <c r="T174" s="147"/>
      <c r="U174" s="144"/>
      <c r="V174" s="144"/>
    </row>
    <row r="175" spans="1:22" ht="14" x14ac:dyDescent="0.15">
      <c r="A175" s="144"/>
      <c r="B175" s="144"/>
      <c r="C175" s="145"/>
      <c r="D175" s="145"/>
      <c r="E175" s="148"/>
      <c r="F175" s="147"/>
      <c r="G175" s="144"/>
      <c r="H175" s="144"/>
      <c r="I175" s="144"/>
      <c r="J175" s="145"/>
      <c r="K175" s="145"/>
      <c r="L175" s="148"/>
      <c r="M175" s="149"/>
      <c r="N175" s="144"/>
      <c r="O175" s="144"/>
      <c r="P175" s="144"/>
      <c r="Q175" s="145"/>
      <c r="R175" s="145"/>
      <c r="S175" s="148"/>
      <c r="T175" s="147"/>
      <c r="U175" s="144"/>
      <c r="V175" s="144"/>
    </row>
    <row r="176" spans="1:22" ht="14" x14ac:dyDescent="0.15">
      <c r="A176" s="144"/>
      <c r="B176" s="144"/>
      <c r="C176" s="145"/>
      <c r="D176" s="145"/>
      <c r="E176" s="148"/>
      <c r="F176" s="147"/>
      <c r="G176" s="144"/>
      <c r="H176" s="144"/>
      <c r="I176" s="144"/>
      <c r="J176" s="145"/>
      <c r="K176" s="145"/>
      <c r="L176" s="148"/>
      <c r="M176" s="149"/>
      <c r="N176" s="144"/>
      <c r="O176" s="144"/>
      <c r="P176" s="144"/>
      <c r="Q176" s="145"/>
      <c r="R176" s="145"/>
      <c r="S176" s="148"/>
      <c r="T176" s="147"/>
      <c r="U176" s="144"/>
      <c r="V176" s="144"/>
    </row>
    <row r="177" spans="1:22" ht="14" x14ac:dyDescent="0.15">
      <c r="A177" s="144"/>
      <c r="B177" s="144"/>
      <c r="C177" s="145"/>
      <c r="D177" s="145"/>
      <c r="E177" s="148"/>
      <c r="F177" s="147"/>
      <c r="G177" s="144"/>
      <c r="H177" s="144"/>
      <c r="I177" s="144"/>
      <c r="J177" s="145"/>
      <c r="K177" s="145"/>
      <c r="L177" s="148"/>
      <c r="M177" s="149"/>
      <c r="N177" s="144"/>
      <c r="O177" s="144"/>
      <c r="P177" s="144"/>
      <c r="Q177" s="145"/>
      <c r="R177" s="145"/>
      <c r="S177" s="148"/>
      <c r="T177" s="147"/>
      <c r="U177" s="144"/>
      <c r="V177" s="144"/>
    </row>
    <row r="178" spans="1:22" ht="14" x14ac:dyDescent="0.15">
      <c r="A178" s="144"/>
      <c r="B178" s="144"/>
      <c r="C178" s="145"/>
      <c r="D178" s="145"/>
      <c r="E178" s="148"/>
      <c r="F178" s="147"/>
      <c r="G178" s="144"/>
      <c r="H178" s="144"/>
      <c r="I178" s="144"/>
      <c r="J178" s="145"/>
      <c r="K178" s="145"/>
      <c r="L178" s="148"/>
      <c r="M178" s="149"/>
      <c r="N178" s="144"/>
      <c r="O178" s="144"/>
      <c r="P178" s="144"/>
      <c r="Q178" s="145"/>
      <c r="R178" s="145"/>
      <c r="S178" s="148"/>
      <c r="T178" s="147"/>
      <c r="U178" s="144"/>
      <c r="V178" s="144"/>
    </row>
    <row r="179" spans="1:22" ht="14" x14ac:dyDescent="0.15">
      <c r="A179" s="144"/>
      <c r="B179" s="144"/>
      <c r="C179" s="145"/>
      <c r="D179" s="145"/>
      <c r="E179" s="148"/>
      <c r="F179" s="147"/>
      <c r="G179" s="144"/>
      <c r="H179" s="144"/>
      <c r="I179" s="144"/>
      <c r="J179" s="145"/>
      <c r="K179" s="145"/>
      <c r="L179" s="148"/>
      <c r="M179" s="149"/>
      <c r="N179" s="144"/>
      <c r="O179" s="144"/>
      <c r="P179" s="144"/>
      <c r="Q179" s="145"/>
      <c r="R179" s="145"/>
      <c r="S179" s="148"/>
      <c r="T179" s="147"/>
      <c r="U179" s="144"/>
      <c r="V179" s="144"/>
    </row>
    <row r="180" spans="1:22" ht="14" x14ac:dyDescent="0.15">
      <c r="A180" s="144"/>
      <c r="B180" s="144"/>
      <c r="C180" s="145"/>
      <c r="D180" s="145"/>
      <c r="E180" s="148"/>
      <c r="F180" s="147"/>
      <c r="G180" s="144"/>
      <c r="H180" s="144"/>
      <c r="I180" s="144"/>
      <c r="J180" s="145"/>
      <c r="K180" s="145"/>
      <c r="L180" s="148"/>
      <c r="M180" s="149"/>
      <c r="N180" s="144"/>
      <c r="O180" s="144"/>
      <c r="P180" s="144"/>
      <c r="Q180" s="145"/>
      <c r="R180" s="145"/>
      <c r="S180" s="148"/>
      <c r="T180" s="147"/>
      <c r="U180" s="144"/>
      <c r="V180" s="144"/>
    </row>
    <row r="181" spans="1:22" ht="14" x14ac:dyDescent="0.15">
      <c r="A181" s="144"/>
      <c r="B181" s="144"/>
      <c r="C181" s="145"/>
      <c r="D181" s="145"/>
      <c r="E181" s="148"/>
      <c r="F181" s="147"/>
      <c r="G181" s="144"/>
      <c r="H181" s="144"/>
      <c r="I181" s="144"/>
      <c r="J181" s="145"/>
      <c r="K181" s="145"/>
      <c r="L181" s="148"/>
      <c r="M181" s="149"/>
      <c r="N181" s="144"/>
      <c r="O181" s="144"/>
      <c r="P181" s="144"/>
      <c r="Q181" s="145"/>
      <c r="R181" s="145"/>
      <c r="S181" s="148"/>
      <c r="T181" s="147"/>
      <c r="U181" s="144"/>
      <c r="V181" s="144"/>
    </row>
    <row r="182" spans="1:22" ht="14" x14ac:dyDescent="0.15">
      <c r="A182" s="144"/>
      <c r="B182" s="144"/>
      <c r="C182" s="145"/>
      <c r="D182" s="145"/>
      <c r="E182" s="148"/>
      <c r="F182" s="147"/>
      <c r="G182" s="144"/>
      <c r="H182" s="144"/>
      <c r="I182" s="144"/>
      <c r="J182" s="145"/>
      <c r="K182" s="145"/>
      <c r="L182" s="148"/>
      <c r="M182" s="149"/>
      <c r="N182" s="144"/>
      <c r="O182" s="144"/>
      <c r="P182" s="144"/>
      <c r="Q182" s="145"/>
      <c r="R182" s="145"/>
      <c r="S182" s="148"/>
      <c r="T182" s="147"/>
      <c r="U182" s="144"/>
      <c r="V182" s="144"/>
    </row>
    <row r="183" spans="1:22" ht="14" x14ac:dyDescent="0.15">
      <c r="A183" s="144"/>
      <c r="B183" s="144"/>
      <c r="C183" s="145"/>
      <c r="D183" s="145"/>
      <c r="E183" s="148"/>
      <c r="F183" s="147"/>
      <c r="G183" s="144"/>
      <c r="H183" s="144"/>
      <c r="I183" s="144"/>
      <c r="J183" s="145"/>
      <c r="K183" s="145"/>
      <c r="L183" s="148"/>
      <c r="M183" s="149"/>
      <c r="N183" s="144"/>
      <c r="O183" s="144"/>
      <c r="P183" s="144"/>
      <c r="Q183" s="145"/>
      <c r="R183" s="145"/>
      <c r="S183" s="148"/>
      <c r="T183" s="147"/>
      <c r="U183" s="144"/>
      <c r="V183" s="144"/>
    </row>
    <row r="184" spans="1:22" ht="14" x14ac:dyDescent="0.15">
      <c r="A184" s="144"/>
      <c r="B184" s="144"/>
      <c r="C184" s="145"/>
      <c r="D184" s="145"/>
      <c r="E184" s="148"/>
      <c r="F184" s="147"/>
      <c r="G184" s="144"/>
      <c r="H184" s="144"/>
      <c r="I184" s="144"/>
      <c r="J184" s="145"/>
      <c r="K184" s="145"/>
      <c r="L184" s="148"/>
      <c r="M184" s="149"/>
      <c r="N184" s="144"/>
      <c r="O184" s="144"/>
      <c r="P184" s="144"/>
      <c r="Q184" s="145"/>
      <c r="R184" s="145"/>
      <c r="S184" s="148"/>
      <c r="T184" s="147"/>
      <c r="U184" s="144"/>
      <c r="V184" s="144"/>
    </row>
    <row r="185" spans="1:22" ht="14" x14ac:dyDescent="0.15">
      <c r="A185" s="144"/>
      <c r="B185" s="144"/>
      <c r="C185" s="145"/>
      <c r="D185" s="145"/>
      <c r="E185" s="148"/>
      <c r="F185" s="147"/>
      <c r="G185" s="144"/>
      <c r="H185" s="144"/>
      <c r="I185" s="144"/>
      <c r="J185" s="145"/>
      <c r="K185" s="145"/>
      <c r="L185" s="148"/>
      <c r="M185" s="149"/>
      <c r="N185" s="144"/>
      <c r="O185" s="144"/>
      <c r="P185" s="144"/>
      <c r="Q185" s="145"/>
      <c r="R185" s="145"/>
      <c r="S185" s="148"/>
      <c r="T185" s="147"/>
      <c r="U185" s="144"/>
      <c r="V185" s="144"/>
    </row>
    <row r="186" spans="1:22" ht="14" x14ac:dyDescent="0.15">
      <c r="A186" s="144"/>
      <c r="B186" s="144"/>
      <c r="C186" s="145"/>
      <c r="D186" s="145"/>
      <c r="E186" s="148"/>
      <c r="F186" s="147"/>
      <c r="G186" s="144"/>
      <c r="H186" s="144"/>
      <c r="I186" s="144"/>
      <c r="J186" s="145"/>
      <c r="K186" s="145"/>
      <c r="L186" s="148"/>
      <c r="M186" s="149"/>
      <c r="N186" s="144"/>
      <c r="O186" s="144"/>
      <c r="P186" s="144"/>
      <c r="Q186" s="145"/>
      <c r="R186" s="145"/>
      <c r="S186" s="148"/>
      <c r="T186" s="147"/>
      <c r="U186" s="144"/>
      <c r="V186" s="144"/>
    </row>
    <row r="187" spans="1:22" ht="14" x14ac:dyDescent="0.15">
      <c r="A187" s="144"/>
      <c r="B187" s="144"/>
      <c r="C187" s="145"/>
      <c r="D187" s="145"/>
      <c r="E187" s="148"/>
      <c r="F187" s="147"/>
      <c r="G187" s="144"/>
      <c r="H187" s="144"/>
      <c r="I187" s="144"/>
      <c r="J187" s="145"/>
      <c r="K187" s="145"/>
      <c r="L187" s="148"/>
      <c r="M187" s="149"/>
      <c r="N187" s="144"/>
      <c r="O187" s="144"/>
      <c r="P187" s="144"/>
      <c r="Q187" s="145"/>
      <c r="R187" s="145"/>
      <c r="S187" s="148"/>
      <c r="T187" s="147"/>
      <c r="U187" s="144"/>
      <c r="V187" s="144"/>
    </row>
    <row r="188" spans="1:22" ht="14" x14ac:dyDescent="0.15">
      <c r="A188" s="144"/>
      <c r="B188" s="144"/>
      <c r="C188" s="145"/>
      <c r="D188" s="145"/>
      <c r="E188" s="148"/>
      <c r="F188" s="147"/>
      <c r="G188" s="144"/>
      <c r="H188" s="144"/>
      <c r="I188" s="144"/>
      <c r="J188" s="145"/>
      <c r="K188" s="145"/>
      <c r="L188" s="148"/>
      <c r="M188" s="149"/>
      <c r="N188" s="144"/>
      <c r="O188" s="144"/>
      <c r="P188" s="144"/>
      <c r="Q188" s="145"/>
      <c r="R188" s="145"/>
      <c r="S188" s="148"/>
      <c r="T188" s="147"/>
      <c r="U188" s="144"/>
      <c r="V188" s="144"/>
    </row>
    <row r="189" spans="1:22" ht="14" x14ac:dyDescent="0.15">
      <c r="A189" s="144"/>
      <c r="B189" s="144"/>
      <c r="C189" s="145"/>
      <c r="D189" s="145"/>
      <c r="E189" s="148"/>
      <c r="F189" s="147"/>
      <c r="G189" s="144"/>
      <c r="H189" s="144"/>
      <c r="I189" s="144"/>
      <c r="J189" s="145"/>
      <c r="K189" s="145"/>
      <c r="L189" s="148"/>
      <c r="M189" s="149"/>
      <c r="N189" s="144"/>
      <c r="O189" s="144"/>
      <c r="P189" s="144"/>
      <c r="Q189" s="145"/>
      <c r="R189" s="145"/>
      <c r="S189" s="148"/>
      <c r="T189" s="147"/>
      <c r="U189" s="144"/>
      <c r="V189" s="144"/>
    </row>
    <row r="190" spans="1:22" ht="14" x14ac:dyDescent="0.15">
      <c r="A190" s="144"/>
      <c r="B190" s="144"/>
      <c r="C190" s="145"/>
      <c r="D190" s="145"/>
      <c r="E190" s="148"/>
      <c r="F190" s="147"/>
      <c r="G190" s="144"/>
      <c r="H190" s="144"/>
      <c r="I190" s="144"/>
      <c r="J190" s="145"/>
      <c r="K190" s="145"/>
      <c r="L190" s="148"/>
      <c r="M190" s="149"/>
      <c r="N190" s="144"/>
      <c r="O190" s="144"/>
      <c r="P190" s="144"/>
      <c r="Q190" s="145"/>
      <c r="R190" s="145"/>
      <c r="S190" s="148"/>
      <c r="T190" s="147"/>
      <c r="U190" s="144"/>
      <c r="V190" s="144"/>
    </row>
    <row r="191" spans="1:22" ht="14" x14ac:dyDescent="0.15">
      <c r="A191" s="144"/>
      <c r="B191" s="144"/>
      <c r="C191" s="145"/>
      <c r="D191" s="145"/>
      <c r="E191" s="148"/>
      <c r="F191" s="147"/>
      <c r="G191" s="144"/>
      <c r="H191" s="144"/>
      <c r="I191" s="144"/>
      <c r="J191" s="145"/>
      <c r="K191" s="145"/>
      <c r="L191" s="148"/>
      <c r="M191" s="149"/>
      <c r="N191" s="144"/>
      <c r="O191" s="144"/>
      <c r="P191" s="144"/>
      <c r="Q191" s="145"/>
      <c r="R191" s="145"/>
      <c r="S191" s="148"/>
      <c r="T191" s="147"/>
      <c r="U191" s="144"/>
      <c r="V191" s="144"/>
    </row>
    <row r="192" spans="1:22" ht="14" x14ac:dyDescent="0.15">
      <c r="A192" s="144"/>
      <c r="B192" s="144"/>
      <c r="C192" s="145"/>
      <c r="D192" s="145"/>
      <c r="E192" s="148"/>
      <c r="F192" s="147"/>
      <c r="G192" s="144"/>
      <c r="H192" s="144"/>
      <c r="I192" s="144"/>
      <c r="J192" s="145"/>
      <c r="K192" s="145"/>
      <c r="L192" s="148"/>
      <c r="M192" s="149"/>
      <c r="N192" s="144"/>
      <c r="O192" s="144"/>
      <c r="P192" s="144"/>
      <c r="Q192" s="145"/>
      <c r="R192" s="145"/>
      <c r="S192" s="148"/>
      <c r="T192" s="147"/>
      <c r="U192" s="144"/>
      <c r="V192" s="144"/>
    </row>
    <row r="193" spans="1:22" ht="14" x14ac:dyDescent="0.15">
      <c r="A193" s="144"/>
      <c r="B193" s="144"/>
      <c r="C193" s="145"/>
      <c r="D193" s="145"/>
      <c r="E193" s="148"/>
      <c r="F193" s="147"/>
      <c r="G193" s="144"/>
      <c r="H193" s="144"/>
      <c r="I193" s="144"/>
      <c r="J193" s="145"/>
      <c r="K193" s="145"/>
      <c r="L193" s="148"/>
      <c r="M193" s="149"/>
      <c r="N193" s="144"/>
      <c r="O193" s="144"/>
      <c r="P193" s="144"/>
      <c r="Q193" s="145"/>
      <c r="R193" s="145"/>
      <c r="S193" s="148"/>
      <c r="T193" s="147"/>
      <c r="U193" s="144"/>
      <c r="V193" s="144"/>
    </row>
    <row r="194" spans="1:22" ht="14" x14ac:dyDescent="0.15">
      <c r="A194" s="144"/>
      <c r="B194" s="144"/>
      <c r="C194" s="145"/>
      <c r="D194" s="145"/>
      <c r="E194" s="148"/>
      <c r="F194" s="147"/>
      <c r="G194" s="144"/>
      <c r="H194" s="144"/>
      <c r="I194" s="144"/>
      <c r="J194" s="145"/>
      <c r="K194" s="145"/>
      <c r="L194" s="148"/>
      <c r="M194" s="149"/>
      <c r="N194" s="144"/>
      <c r="O194" s="144"/>
      <c r="P194" s="144"/>
      <c r="Q194" s="145"/>
      <c r="R194" s="145"/>
      <c r="S194" s="148"/>
      <c r="T194" s="147"/>
      <c r="U194" s="144"/>
      <c r="V194" s="144"/>
    </row>
    <row r="195" spans="1:22" ht="14" x14ac:dyDescent="0.15">
      <c r="A195" s="144"/>
      <c r="B195" s="144"/>
      <c r="C195" s="145"/>
      <c r="D195" s="145"/>
      <c r="E195" s="148"/>
      <c r="F195" s="147"/>
      <c r="G195" s="144"/>
      <c r="H195" s="144"/>
      <c r="I195" s="144"/>
      <c r="J195" s="145"/>
      <c r="K195" s="145"/>
      <c r="L195" s="148"/>
      <c r="M195" s="149"/>
      <c r="N195" s="144"/>
      <c r="O195" s="144"/>
      <c r="P195" s="144"/>
      <c r="Q195" s="145"/>
      <c r="R195" s="145"/>
      <c r="S195" s="148"/>
      <c r="T195" s="147"/>
      <c r="U195" s="144"/>
      <c r="V195" s="144"/>
    </row>
    <row r="196" spans="1:22" ht="14" x14ac:dyDescent="0.15">
      <c r="A196" s="144"/>
      <c r="B196" s="144"/>
      <c r="C196" s="145"/>
      <c r="D196" s="145"/>
      <c r="E196" s="148"/>
      <c r="F196" s="147"/>
      <c r="G196" s="144"/>
      <c r="H196" s="144"/>
      <c r="I196" s="144"/>
      <c r="J196" s="145"/>
      <c r="K196" s="145"/>
      <c r="L196" s="148"/>
      <c r="M196" s="149"/>
      <c r="N196" s="144"/>
      <c r="O196" s="144"/>
      <c r="P196" s="144"/>
      <c r="Q196" s="145"/>
      <c r="R196" s="145"/>
      <c r="S196" s="148"/>
      <c r="T196" s="147"/>
      <c r="U196" s="144"/>
      <c r="V196" s="144"/>
    </row>
    <row r="197" spans="1:22" ht="14" x14ac:dyDescent="0.15">
      <c r="A197" s="144"/>
      <c r="B197" s="144"/>
      <c r="C197" s="145"/>
      <c r="D197" s="145"/>
      <c r="E197" s="148"/>
      <c r="F197" s="147"/>
      <c r="G197" s="144"/>
      <c r="H197" s="144"/>
      <c r="I197" s="144"/>
      <c r="J197" s="145"/>
      <c r="K197" s="145"/>
      <c r="L197" s="148"/>
      <c r="M197" s="149"/>
      <c r="N197" s="144"/>
      <c r="O197" s="144"/>
      <c r="P197" s="144"/>
      <c r="Q197" s="145"/>
      <c r="R197" s="145"/>
      <c r="S197" s="148"/>
      <c r="T197" s="147"/>
      <c r="U197" s="144"/>
      <c r="V197" s="144"/>
    </row>
    <row r="198" spans="1:22" ht="14" x14ac:dyDescent="0.15">
      <c r="A198" s="144"/>
      <c r="B198" s="144"/>
      <c r="C198" s="145"/>
      <c r="D198" s="145"/>
      <c r="E198" s="148"/>
      <c r="F198" s="147"/>
      <c r="G198" s="144"/>
      <c r="H198" s="144"/>
      <c r="I198" s="144"/>
      <c r="J198" s="145"/>
      <c r="K198" s="145"/>
      <c r="L198" s="148"/>
      <c r="M198" s="149"/>
      <c r="N198" s="144"/>
      <c r="O198" s="144"/>
      <c r="P198" s="144"/>
      <c r="Q198" s="145"/>
      <c r="R198" s="145"/>
      <c r="S198" s="148"/>
      <c r="T198" s="147"/>
      <c r="U198" s="144"/>
      <c r="V198" s="144"/>
    </row>
    <row r="199" spans="1:22" ht="14" x14ac:dyDescent="0.15">
      <c r="A199" s="144"/>
      <c r="B199" s="144"/>
      <c r="C199" s="145"/>
      <c r="D199" s="145"/>
      <c r="E199" s="148"/>
      <c r="F199" s="147"/>
      <c r="G199" s="144"/>
      <c r="H199" s="144"/>
      <c r="I199" s="144"/>
      <c r="J199" s="145"/>
      <c r="K199" s="145"/>
      <c r="L199" s="148"/>
      <c r="M199" s="149"/>
      <c r="N199" s="144"/>
      <c r="O199" s="144"/>
      <c r="P199" s="144"/>
      <c r="Q199" s="145"/>
      <c r="R199" s="145"/>
      <c r="S199" s="148"/>
      <c r="T199" s="147"/>
      <c r="U199" s="144"/>
      <c r="V199" s="144"/>
    </row>
    <row r="200" spans="1:22" ht="14" x14ac:dyDescent="0.15">
      <c r="A200" s="144"/>
      <c r="B200" s="144"/>
      <c r="C200" s="145"/>
      <c r="D200" s="145"/>
      <c r="E200" s="148"/>
      <c r="F200" s="147"/>
      <c r="G200" s="144"/>
      <c r="H200" s="144"/>
      <c r="I200" s="144"/>
      <c r="J200" s="145"/>
      <c r="K200" s="145"/>
      <c r="L200" s="148"/>
      <c r="M200" s="149"/>
      <c r="N200" s="144"/>
      <c r="O200" s="144"/>
      <c r="P200" s="144"/>
      <c r="Q200" s="145"/>
      <c r="R200" s="145"/>
      <c r="S200" s="148"/>
      <c r="T200" s="147"/>
      <c r="U200" s="144"/>
      <c r="V200" s="144"/>
    </row>
    <row r="201" spans="1:22" ht="14" x14ac:dyDescent="0.15">
      <c r="A201" s="144"/>
      <c r="B201" s="144"/>
      <c r="C201" s="145"/>
      <c r="D201" s="145"/>
      <c r="E201" s="148"/>
      <c r="F201" s="147"/>
      <c r="G201" s="144"/>
      <c r="H201" s="144"/>
      <c r="I201" s="144"/>
      <c r="J201" s="145"/>
      <c r="K201" s="145"/>
      <c r="L201" s="148"/>
      <c r="M201" s="149"/>
      <c r="N201" s="144"/>
      <c r="O201" s="144"/>
      <c r="P201" s="144"/>
      <c r="Q201" s="145"/>
      <c r="R201" s="145"/>
      <c r="S201" s="148"/>
      <c r="T201" s="147"/>
      <c r="U201" s="144"/>
      <c r="V201" s="144"/>
    </row>
    <row r="202" spans="1:22" ht="14" x14ac:dyDescent="0.15">
      <c r="A202" s="144"/>
      <c r="B202" s="144"/>
      <c r="C202" s="145"/>
      <c r="D202" s="145"/>
      <c r="E202" s="148"/>
      <c r="F202" s="147"/>
      <c r="G202" s="144"/>
      <c r="H202" s="144"/>
      <c r="I202" s="144"/>
      <c r="J202" s="145"/>
      <c r="K202" s="145"/>
      <c r="L202" s="148"/>
      <c r="M202" s="149"/>
      <c r="N202" s="144"/>
      <c r="O202" s="144"/>
      <c r="P202" s="144"/>
      <c r="Q202" s="145"/>
      <c r="R202" s="145"/>
      <c r="S202" s="148"/>
      <c r="T202" s="147"/>
      <c r="U202" s="144"/>
      <c r="V202" s="144"/>
    </row>
    <row r="203" spans="1:22" ht="14" x14ac:dyDescent="0.15">
      <c r="A203" s="144"/>
      <c r="B203" s="144"/>
      <c r="C203" s="145"/>
      <c r="D203" s="145"/>
      <c r="E203" s="148"/>
      <c r="F203" s="147"/>
      <c r="G203" s="144"/>
      <c r="H203" s="144"/>
      <c r="I203" s="144"/>
      <c r="J203" s="145"/>
      <c r="K203" s="145"/>
      <c r="L203" s="148"/>
      <c r="M203" s="149"/>
      <c r="N203" s="144"/>
      <c r="O203" s="144"/>
      <c r="P203" s="144"/>
      <c r="Q203" s="145"/>
      <c r="R203" s="145"/>
      <c r="S203" s="148"/>
      <c r="T203" s="147"/>
      <c r="U203" s="144"/>
      <c r="V203" s="144"/>
    </row>
    <row r="204" spans="1:22" ht="14" x14ac:dyDescent="0.15">
      <c r="A204" s="144"/>
      <c r="B204" s="144"/>
      <c r="C204" s="145"/>
      <c r="D204" s="145"/>
      <c r="E204" s="148"/>
      <c r="F204" s="147"/>
      <c r="G204" s="144"/>
      <c r="H204" s="144"/>
      <c r="I204" s="144"/>
      <c r="J204" s="145"/>
      <c r="K204" s="145"/>
      <c r="L204" s="148"/>
      <c r="M204" s="149"/>
      <c r="N204" s="144"/>
      <c r="O204" s="144"/>
      <c r="P204" s="144"/>
      <c r="Q204" s="145"/>
      <c r="R204" s="145"/>
      <c r="S204" s="148"/>
      <c r="T204" s="147"/>
      <c r="U204" s="144"/>
      <c r="V204" s="144"/>
    </row>
    <row r="205" spans="1:22" ht="14" x14ac:dyDescent="0.15">
      <c r="A205" s="144"/>
      <c r="B205" s="144"/>
      <c r="C205" s="145"/>
      <c r="D205" s="145"/>
      <c r="E205" s="148"/>
      <c r="F205" s="147"/>
      <c r="G205" s="144"/>
      <c r="H205" s="144"/>
      <c r="I205" s="144"/>
      <c r="J205" s="145"/>
      <c r="K205" s="145"/>
      <c r="L205" s="148"/>
      <c r="M205" s="149"/>
      <c r="N205" s="144"/>
      <c r="O205" s="144"/>
      <c r="P205" s="144"/>
      <c r="Q205" s="145"/>
      <c r="R205" s="145"/>
      <c r="S205" s="148"/>
      <c r="T205" s="147"/>
      <c r="U205" s="144"/>
      <c r="V205" s="144"/>
    </row>
    <row r="206" spans="1:22" ht="14" x14ac:dyDescent="0.15">
      <c r="A206" s="144"/>
      <c r="B206" s="144"/>
      <c r="C206" s="145"/>
      <c r="D206" s="145"/>
      <c r="E206" s="148"/>
      <c r="F206" s="147"/>
      <c r="G206" s="144"/>
      <c r="H206" s="144"/>
      <c r="I206" s="144"/>
      <c r="J206" s="145"/>
      <c r="K206" s="145"/>
      <c r="L206" s="148"/>
      <c r="M206" s="149"/>
      <c r="N206" s="144"/>
      <c r="O206" s="144"/>
      <c r="P206" s="144"/>
      <c r="Q206" s="145"/>
      <c r="R206" s="145"/>
      <c r="S206" s="148"/>
      <c r="T206" s="147"/>
      <c r="U206" s="144"/>
      <c r="V206" s="144"/>
    </row>
    <row r="207" spans="1:22" ht="14" x14ac:dyDescent="0.15">
      <c r="A207" s="144"/>
      <c r="B207" s="144"/>
      <c r="C207" s="145"/>
      <c r="D207" s="145"/>
      <c r="E207" s="148"/>
      <c r="F207" s="147"/>
      <c r="G207" s="144"/>
      <c r="H207" s="144"/>
      <c r="I207" s="144"/>
      <c r="J207" s="145"/>
      <c r="K207" s="145"/>
      <c r="L207" s="148"/>
      <c r="M207" s="149"/>
      <c r="N207" s="144"/>
      <c r="O207" s="144"/>
      <c r="P207" s="144"/>
      <c r="Q207" s="145"/>
      <c r="R207" s="145"/>
      <c r="S207" s="148"/>
      <c r="T207" s="147"/>
      <c r="U207" s="144"/>
      <c r="V207" s="144"/>
    </row>
    <row r="208" spans="1:22" ht="14" x14ac:dyDescent="0.15">
      <c r="A208" s="144"/>
      <c r="B208" s="144"/>
      <c r="C208" s="145"/>
      <c r="D208" s="145"/>
      <c r="E208" s="148"/>
      <c r="F208" s="147"/>
      <c r="G208" s="144"/>
      <c r="H208" s="144"/>
      <c r="I208" s="144"/>
      <c r="J208" s="145"/>
      <c r="K208" s="145"/>
      <c r="L208" s="148"/>
      <c r="M208" s="149"/>
      <c r="N208" s="144"/>
      <c r="O208" s="144"/>
      <c r="P208" s="144"/>
      <c r="Q208" s="145"/>
      <c r="R208" s="145"/>
      <c r="S208" s="148"/>
      <c r="T208" s="147"/>
      <c r="U208" s="144"/>
      <c r="V208" s="144"/>
    </row>
    <row r="209" spans="1:22" ht="14" x14ac:dyDescent="0.15">
      <c r="A209" s="144"/>
      <c r="B209" s="144"/>
      <c r="C209" s="145"/>
      <c r="D209" s="145"/>
      <c r="E209" s="148"/>
      <c r="F209" s="147"/>
      <c r="G209" s="144"/>
      <c r="H209" s="144"/>
      <c r="I209" s="144"/>
      <c r="J209" s="145"/>
      <c r="K209" s="145"/>
      <c r="L209" s="148"/>
      <c r="M209" s="149"/>
      <c r="N209" s="144"/>
      <c r="O209" s="144"/>
      <c r="P209" s="144"/>
      <c r="Q209" s="145"/>
      <c r="R209" s="145"/>
      <c r="S209" s="148"/>
      <c r="T209" s="147"/>
      <c r="U209" s="144"/>
      <c r="V209" s="144"/>
    </row>
    <row r="210" spans="1:22" ht="14" x14ac:dyDescent="0.15">
      <c r="A210" s="144"/>
      <c r="B210" s="144"/>
      <c r="C210" s="145"/>
      <c r="D210" s="145"/>
      <c r="E210" s="148"/>
      <c r="F210" s="147"/>
      <c r="G210" s="144"/>
      <c r="H210" s="144"/>
      <c r="I210" s="144"/>
      <c r="J210" s="145"/>
      <c r="K210" s="145"/>
      <c r="L210" s="148"/>
      <c r="M210" s="149"/>
      <c r="N210" s="144"/>
      <c r="O210" s="144"/>
      <c r="P210" s="144"/>
      <c r="Q210" s="145"/>
      <c r="R210" s="145"/>
      <c r="S210" s="148"/>
      <c r="T210" s="147"/>
      <c r="U210" s="144"/>
      <c r="V210" s="144"/>
    </row>
    <row r="211" spans="1:22" ht="14" x14ac:dyDescent="0.15">
      <c r="A211" s="144"/>
      <c r="B211" s="144"/>
      <c r="C211" s="145"/>
      <c r="D211" s="145"/>
      <c r="E211" s="148"/>
      <c r="F211" s="147"/>
      <c r="G211" s="144"/>
      <c r="H211" s="144"/>
      <c r="I211" s="144"/>
      <c r="J211" s="145"/>
      <c r="K211" s="145"/>
      <c r="L211" s="148"/>
      <c r="M211" s="149"/>
      <c r="N211" s="144"/>
      <c r="O211" s="144"/>
      <c r="P211" s="144"/>
      <c r="Q211" s="145"/>
      <c r="R211" s="145"/>
      <c r="S211" s="148"/>
      <c r="T211" s="147"/>
      <c r="U211" s="144"/>
      <c r="V211" s="144"/>
    </row>
    <row r="212" spans="1:22" ht="14" x14ac:dyDescent="0.15">
      <c r="A212" s="144"/>
      <c r="B212" s="144"/>
      <c r="C212" s="145"/>
      <c r="D212" s="145"/>
      <c r="E212" s="148"/>
      <c r="F212" s="147"/>
      <c r="G212" s="144"/>
      <c r="H212" s="144"/>
      <c r="I212" s="144"/>
      <c r="J212" s="145"/>
      <c r="K212" s="145"/>
      <c r="L212" s="148"/>
      <c r="M212" s="149"/>
      <c r="N212" s="144"/>
      <c r="O212" s="144"/>
      <c r="P212" s="144"/>
      <c r="Q212" s="145"/>
      <c r="R212" s="145"/>
      <c r="S212" s="148"/>
      <c r="T212" s="147"/>
      <c r="U212" s="144"/>
      <c r="V212" s="144"/>
    </row>
    <row r="213" spans="1:22" ht="14" x14ac:dyDescent="0.15">
      <c r="A213" s="144"/>
      <c r="B213" s="144"/>
      <c r="C213" s="145"/>
      <c r="D213" s="145"/>
      <c r="E213" s="148"/>
      <c r="F213" s="147"/>
      <c r="G213" s="144"/>
      <c r="H213" s="144"/>
      <c r="I213" s="144"/>
      <c r="J213" s="145"/>
      <c r="K213" s="145"/>
      <c r="L213" s="148"/>
      <c r="M213" s="149"/>
      <c r="N213" s="144"/>
      <c r="O213" s="144"/>
      <c r="P213" s="144"/>
      <c r="Q213" s="145"/>
      <c r="R213" s="145"/>
      <c r="S213" s="148"/>
      <c r="T213" s="147"/>
      <c r="U213" s="144"/>
      <c r="V213" s="144"/>
    </row>
    <row r="214" spans="1:22" ht="14" x14ac:dyDescent="0.15">
      <c r="A214" s="144"/>
      <c r="B214" s="144"/>
      <c r="C214" s="145"/>
      <c r="D214" s="145"/>
      <c r="E214" s="148"/>
      <c r="F214" s="147"/>
      <c r="G214" s="144"/>
      <c r="H214" s="144"/>
      <c r="I214" s="144"/>
      <c r="J214" s="145"/>
      <c r="K214" s="145"/>
      <c r="L214" s="148"/>
      <c r="M214" s="149"/>
      <c r="N214" s="144"/>
      <c r="O214" s="144"/>
      <c r="P214" s="144"/>
      <c r="Q214" s="145"/>
      <c r="R214" s="145"/>
      <c r="S214" s="148"/>
      <c r="T214" s="147"/>
      <c r="U214" s="144"/>
      <c r="V214" s="144"/>
    </row>
    <row r="215" spans="1:22" ht="14" x14ac:dyDescent="0.15">
      <c r="A215" s="144"/>
      <c r="B215" s="144"/>
      <c r="C215" s="145"/>
      <c r="D215" s="145"/>
      <c r="E215" s="148"/>
      <c r="F215" s="147"/>
      <c r="G215" s="144"/>
      <c r="H215" s="144"/>
      <c r="I215" s="144"/>
      <c r="J215" s="145"/>
      <c r="K215" s="145"/>
      <c r="L215" s="148"/>
      <c r="M215" s="149"/>
      <c r="N215" s="144"/>
      <c r="O215" s="144"/>
      <c r="P215" s="144"/>
      <c r="Q215" s="145"/>
      <c r="R215" s="145"/>
      <c r="S215" s="148"/>
      <c r="T215" s="147"/>
      <c r="U215" s="144"/>
      <c r="V215" s="144"/>
    </row>
    <row r="216" spans="1:22" ht="14" x14ac:dyDescent="0.15">
      <c r="A216" s="144"/>
      <c r="B216" s="144"/>
      <c r="C216" s="145"/>
      <c r="D216" s="145"/>
      <c r="E216" s="148"/>
      <c r="F216" s="147"/>
      <c r="G216" s="144"/>
      <c r="H216" s="144"/>
      <c r="I216" s="144"/>
      <c r="J216" s="145"/>
      <c r="K216" s="145"/>
      <c r="L216" s="148"/>
      <c r="M216" s="149"/>
      <c r="N216" s="144"/>
      <c r="O216" s="144"/>
      <c r="P216" s="144"/>
      <c r="Q216" s="145"/>
      <c r="R216" s="145"/>
      <c r="S216" s="148"/>
      <c r="T216" s="147"/>
      <c r="U216" s="144"/>
      <c r="V216" s="144"/>
    </row>
    <row r="217" spans="1:22" ht="14" x14ac:dyDescent="0.15">
      <c r="A217" s="144"/>
      <c r="B217" s="144"/>
      <c r="C217" s="145"/>
      <c r="D217" s="145"/>
      <c r="E217" s="148"/>
      <c r="F217" s="147"/>
      <c r="G217" s="144"/>
      <c r="H217" s="144"/>
      <c r="I217" s="144"/>
      <c r="J217" s="145"/>
      <c r="K217" s="145"/>
      <c r="L217" s="148"/>
      <c r="M217" s="149"/>
      <c r="N217" s="144"/>
      <c r="O217" s="144"/>
      <c r="P217" s="144"/>
      <c r="Q217" s="145"/>
      <c r="R217" s="145"/>
      <c r="S217" s="148"/>
      <c r="T217" s="147"/>
      <c r="U217" s="144"/>
      <c r="V217" s="144"/>
    </row>
    <row r="218" spans="1:22" ht="14" x14ac:dyDescent="0.15">
      <c r="A218" s="144"/>
      <c r="B218" s="144"/>
      <c r="C218" s="145"/>
      <c r="D218" s="145"/>
      <c r="E218" s="148"/>
      <c r="F218" s="147"/>
      <c r="G218" s="144"/>
      <c r="H218" s="144"/>
      <c r="I218" s="144"/>
      <c r="J218" s="145"/>
      <c r="K218" s="145"/>
      <c r="L218" s="148"/>
      <c r="M218" s="149"/>
      <c r="N218" s="144"/>
      <c r="O218" s="144"/>
      <c r="P218" s="144"/>
      <c r="Q218" s="145"/>
      <c r="R218" s="145"/>
      <c r="S218" s="148"/>
      <c r="T218" s="147"/>
      <c r="U218" s="144"/>
      <c r="V218" s="144"/>
    </row>
    <row r="219" spans="1:22" ht="14" x14ac:dyDescent="0.15">
      <c r="A219" s="144"/>
      <c r="B219" s="144"/>
      <c r="C219" s="145"/>
      <c r="D219" s="145"/>
      <c r="E219" s="148"/>
      <c r="F219" s="147"/>
      <c r="G219" s="144"/>
      <c r="H219" s="144"/>
      <c r="I219" s="144"/>
      <c r="J219" s="145"/>
      <c r="K219" s="145"/>
      <c r="L219" s="148"/>
      <c r="M219" s="149"/>
      <c r="N219" s="144"/>
      <c r="O219" s="144"/>
      <c r="P219" s="144"/>
      <c r="Q219" s="145"/>
      <c r="R219" s="145"/>
      <c r="S219" s="148"/>
      <c r="T219" s="147"/>
      <c r="U219" s="144"/>
      <c r="V219" s="144"/>
    </row>
    <row r="220" spans="1:22" ht="14" x14ac:dyDescent="0.15">
      <c r="A220" s="144"/>
      <c r="B220" s="144"/>
      <c r="C220" s="145"/>
      <c r="D220" s="145"/>
      <c r="E220" s="148"/>
      <c r="F220" s="147"/>
      <c r="G220" s="144"/>
      <c r="H220" s="144"/>
      <c r="I220" s="144"/>
      <c r="J220" s="145"/>
      <c r="K220" s="145"/>
      <c r="L220" s="148"/>
      <c r="M220" s="149"/>
      <c r="N220" s="144"/>
      <c r="O220" s="144"/>
      <c r="P220" s="144"/>
      <c r="Q220" s="145"/>
      <c r="R220" s="145"/>
      <c r="S220" s="148"/>
      <c r="T220" s="147"/>
      <c r="U220" s="144"/>
      <c r="V220" s="144"/>
    </row>
    <row r="221" spans="1:22" ht="14" x14ac:dyDescent="0.15">
      <c r="A221" s="144"/>
      <c r="B221" s="144"/>
      <c r="C221" s="145"/>
      <c r="D221" s="145"/>
      <c r="E221" s="148"/>
      <c r="F221" s="147"/>
      <c r="G221" s="144"/>
      <c r="H221" s="144"/>
      <c r="I221" s="144"/>
      <c r="J221" s="145"/>
      <c r="K221" s="145"/>
      <c r="L221" s="148"/>
      <c r="M221" s="149"/>
      <c r="N221" s="144"/>
      <c r="O221" s="144"/>
      <c r="P221" s="144"/>
      <c r="Q221" s="145"/>
      <c r="R221" s="145"/>
      <c r="S221" s="148"/>
      <c r="T221" s="147"/>
      <c r="U221" s="144"/>
      <c r="V221" s="144"/>
    </row>
    <row r="222" spans="1:22" ht="14" x14ac:dyDescent="0.15">
      <c r="A222" s="144"/>
      <c r="B222" s="144"/>
      <c r="C222" s="145"/>
      <c r="D222" s="145"/>
      <c r="E222" s="148"/>
      <c r="F222" s="147"/>
      <c r="G222" s="144"/>
      <c r="H222" s="144"/>
      <c r="I222" s="144"/>
      <c r="J222" s="145"/>
      <c r="K222" s="145"/>
      <c r="L222" s="148"/>
      <c r="M222" s="149"/>
      <c r="N222" s="144"/>
      <c r="O222" s="144"/>
      <c r="P222" s="144"/>
      <c r="Q222" s="145"/>
      <c r="R222" s="145"/>
      <c r="S222" s="148"/>
      <c r="T222" s="147"/>
      <c r="U222" s="144"/>
      <c r="V222" s="144"/>
    </row>
    <row r="223" spans="1:22" ht="14" x14ac:dyDescent="0.15">
      <c r="A223" s="144"/>
      <c r="B223" s="144"/>
      <c r="C223" s="145"/>
      <c r="D223" s="145"/>
      <c r="E223" s="148"/>
      <c r="F223" s="147"/>
      <c r="G223" s="144"/>
      <c r="H223" s="144"/>
      <c r="I223" s="144"/>
      <c r="J223" s="145"/>
      <c r="K223" s="145"/>
      <c r="L223" s="148"/>
      <c r="M223" s="149"/>
      <c r="N223" s="144"/>
      <c r="O223" s="144"/>
      <c r="P223" s="144"/>
      <c r="Q223" s="145"/>
      <c r="R223" s="145"/>
      <c r="S223" s="148"/>
      <c r="T223" s="147"/>
      <c r="U223" s="144"/>
      <c r="V223" s="144"/>
    </row>
    <row r="224" spans="1:22" ht="14" x14ac:dyDescent="0.15">
      <c r="A224" s="144"/>
      <c r="B224" s="144"/>
      <c r="C224" s="145"/>
      <c r="D224" s="145"/>
      <c r="E224" s="148"/>
      <c r="F224" s="147"/>
      <c r="G224" s="144"/>
      <c r="H224" s="144"/>
      <c r="I224" s="144"/>
      <c r="J224" s="145"/>
      <c r="K224" s="145"/>
      <c r="L224" s="148"/>
      <c r="M224" s="149"/>
      <c r="N224" s="144"/>
      <c r="O224" s="144"/>
      <c r="P224" s="144"/>
      <c r="Q224" s="145"/>
      <c r="R224" s="145"/>
      <c r="S224" s="148"/>
      <c r="T224" s="147"/>
      <c r="U224" s="144"/>
      <c r="V224" s="144"/>
    </row>
    <row r="225" spans="1:22" ht="14" x14ac:dyDescent="0.15">
      <c r="A225" s="144"/>
      <c r="B225" s="144"/>
      <c r="C225" s="145"/>
      <c r="D225" s="145"/>
      <c r="E225" s="148"/>
      <c r="F225" s="147"/>
      <c r="G225" s="144"/>
      <c r="H225" s="144"/>
      <c r="I225" s="144"/>
      <c r="J225" s="145"/>
      <c r="K225" s="145"/>
      <c r="L225" s="148"/>
      <c r="M225" s="149"/>
      <c r="N225" s="144"/>
      <c r="O225" s="144"/>
      <c r="P225" s="144"/>
      <c r="Q225" s="145"/>
      <c r="R225" s="145"/>
      <c r="S225" s="148"/>
      <c r="T225" s="147"/>
      <c r="U225" s="144"/>
      <c r="V225" s="144"/>
    </row>
    <row r="226" spans="1:22" ht="14" x14ac:dyDescent="0.15">
      <c r="A226" s="144"/>
      <c r="B226" s="144"/>
      <c r="C226" s="145"/>
      <c r="D226" s="145"/>
      <c r="E226" s="148"/>
      <c r="F226" s="147"/>
      <c r="G226" s="144"/>
      <c r="H226" s="144"/>
      <c r="I226" s="144"/>
      <c r="J226" s="145"/>
      <c r="K226" s="145"/>
      <c r="L226" s="148"/>
      <c r="M226" s="149"/>
      <c r="N226" s="144"/>
      <c r="O226" s="144"/>
      <c r="P226" s="144"/>
      <c r="Q226" s="145"/>
      <c r="R226" s="145"/>
      <c r="S226" s="148"/>
      <c r="T226" s="147"/>
      <c r="U226" s="144"/>
      <c r="V226" s="144"/>
    </row>
    <row r="227" spans="1:22" ht="14" x14ac:dyDescent="0.15">
      <c r="A227" s="144"/>
      <c r="B227" s="144"/>
      <c r="C227" s="145"/>
      <c r="D227" s="145"/>
      <c r="E227" s="148"/>
      <c r="F227" s="147"/>
      <c r="G227" s="144"/>
      <c r="H227" s="144"/>
      <c r="I227" s="144"/>
      <c r="J227" s="145"/>
      <c r="K227" s="145"/>
      <c r="L227" s="148"/>
      <c r="M227" s="149"/>
      <c r="N227" s="144"/>
      <c r="O227" s="144"/>
      <c r="P227" s="144"/>
      <c r="Q227" s="145"/>
      <c r="R227" s="145"/>
      <c r="S227" s="148"/>
      <c r="T227" s="147"/>
      <c r="U227" s="144"/>
      <c r="V227" s="144"/>
    </row>
    <row r="228" spans="1:22" ht="14" x14ac:dyDescent="0.15">
      <c r="A228" s="144"/>
      <c r="B228" s="144"/>
      <c r="C228" s="145"/>
      <c r="D228" s="145"/>
      <c r="E228" s="148"/>
      <c r="F228" s="147"/>
      <c r="G228" s="144"/>
      <c r="H228" s="144"/>
      <c r="I228" s="144"/>
      <c r="J228" s="145"/>
      <c r="K228" s="145"/>
      <c r="L228" s="148"/>
      <c r="M228" s="149"/>
      <c r="N228" s="144"/>
      <c r="O228" s="144"/>
      <c r="P228" s="144"/>
      <c r="Q228" s="145"/>
      <c r="R228" s="145"/>
      <c r="S228" s="148"/>
      <c r="T228" s="147"/>
      <c r="U228" s="144"/>
      <c r="V228" s="144"/>
    </row>
    <row r="229" spans="1:22" ht="14" x14ac:dyDescent="0.15">
      <c r="A229" s="144"/>
      <c r="B229" s="144"/>
      <c r="C229" s="145"/>
      <c r="D229" s="145"/>
      <c r="E229" s="148"/>
      <c r="F229" s="147"/>
      <c r="G229" s="144"/>
      <c r="H229" s="144"/>
      <c r="I229" s="144"/>
      <c r="J229" s="145"/>
      <c r="K229" s="145"/>
      <c r="L229" s="148"/>
      <c r="M229" s="149"/>
      <c r="N229" s="144"/>
      <c r="O229" s="144"/>
      <c r="P229" s="144"/>
      <c r="Q229" s="145"/>
      <c r="R229" s="145"/>
      <c r="S229" s="148"/>
      <c r="T229" s="147"/>
      <c r="U229" s="144"/>
      <c r="V229" s="144"/>
    </row>
    <row r="230" spans="1:22" ht="14" x14ac:dyDescent="0.15">
      <c r="A230" s="144"/>
      <c r="B230" s="144"/>
      <c r="C230" s="145"/>
      <c r="D230" s="145"/>
      <c r="E230" s="148"/>
      <c r="F230" s="147"/>
      <c r="G230" s="144"/>
      <c r="H230" s="144"/>
      <c r="I230" s="144"/>
      <c r="J230" s="145"/>
      <c r="K230" s="145"/>
      <c r="L230" s="148"/>
      <c r="M230" s="149"/>
      <c r="N230" s="144"/>
      <c r="O230" s="144"/>
      <c r="P230" s="144"/>
      <c r="Q230" s="145"/>
      <c r="R230" s="145"/>
      <c r="S230" s="148"/>
      <c r="T230" s="147"/>
      <c r="U230" s="144"/>
      <c r="V230" s="144"/>
    </row>
    <row r="231" spans="1:22" ht="14" x14ac:dyDescent="0.15">
      <c r="A231" s="144"/>
      <c r="B231" s="144"/>
      <c r="C231" s="145"/>
      <c r="D231" s="145"/>
      <c r="E231" s="148"/>
      <c r="F231" s="147"/>
      <c r="G231" s="144"/>
      <c r="H231" s="144"/>
      <c r="I231" s="144"/>
      <c r="J231" s="145"/>
      <c r="K231" s="145"/>
      <c r="L231" s="148"/>
      <c r="M231" s="149"/>
      <c r="N231" s="144"/>
      <c r="O231" s="144"/>
      <c r="P231" s="144"/>
      <c r="Q231" s="145"/>
      <c r="R231" s="145"/>
      <c r="S231" s="148"/>
      <c r="T231" s="147"/>
      <c r="U231" s="144"/>
      <c r="V231" s="144"/>
    </row>
    <row r="232" spans="1:22" ht="14" x14ac:dyDescent="0.15">
      <c r="A232" s="144"/>
      <c r="B232" s="144"/>
      <c r="C232" s="145"/>
      <c r="D232" s="145"/>
      <c r="E232" s="148"/>
      <c r="F232" s="147"/>
      <c r="G232" s="144"/>
      <c r="H232" s="144"/>
      <c r="I232" s="144"/>
      <c r="J232" s="145"/>
      <c r="K232" s="145"/>
      <c r="L232" s="148"/>
      <c r="M232" s="149"/>
      <c r="N232" s="144"/>
      <c r="O232" s="144"/>
      <c r="P232" s="144"/>
      <c r="Q232" s="145"/>
      <c r="R232" s="145"/>
      <c r="S232" s="148"/>
      <c r="T232" s="147"/>
      <c r="U232" s="144"/>
      <c r="V232" s="144"/>
    </row>
    <row r="233" spans="1:22" ht="14" x14ac:dyDescent="0.15">
      <c r="A233" s="144"/>
      <c r="B233" s="144"/>
      <c r="C233" s="145"/>
      <c r="D233" s="145"/>
      <c r="E233" s="148"/>
      <c r="F233" s="147"/>
      <c r="G233" s="144"/>
      <c r="H233" s="144"/>
      <c r="I233" s="144"/>
      <c r="J233" s="145"/>
      <c r="K233" s="145"/>
      <c r="L233" s="148"/>
      <c r="M233" s="149"/>
      <c r="N233" s="144"/>
      <c r="O233" s="144"/>
      <c r="P233" s="144"/>
      <c r="Q233" s="145"/>
      <c r="R233" s="145"/>
      <c r="S233" s="148"/>
      <c r="T233" s="147"/>
      <c r="U233" s="144"/>
      <c r="V233" s="144"/>
    </row>
    <row r="234" spans="1:22" ht="14" x14ac:dyDescent="0.15">
      <c r="A234" s="144"/>
      <c r="B234" s="144"/>
      <c r="C234" s="145"/>
      <c r="D234" s="145"/>
      <c r="E234" s="148"/>
      <c r="F234" s="147"/>
      <c r="G234" s="144"/>
      <c r="H234" s="144"/>
      <c r="I234" s="144"/>
      <c r="J234" s="145"/>
      <c r="K234" s="145"/>
      <c r="L234" s="148"/>
      <c r="M234" s="149"/>
      <c r="N234" s="144"/>
      <c r="O234" s="144"/>
      <c r="P234" s="144"/>
      <c r="Q234" s="145"/>
      <c r="R234" s="145"/>
      <c r="S234" s="148"/>
      <c r="T234" s="147"/>
      <c r="U234" s="144"/>
      <c r="V234" s="144"/>
    </row>
    <row r="235" spans="1:22" ht="14" x14ac:dyDescent="0.15">
      <c r="A235" s="144"/>
      <c r="B235" s="144"/>
      <c r="C235" s="145"/>
      <c r="D235" s="145"/>
      <c r="E235" s="148"/>
      <c r="F235" s="147"/>
      <c r="G235" s="144"/>
      <c r="H235" s="144"/>
      <c r="I235" s="144"/>
      <c r="J235" s="145"/>
      <c r="K235" s="145"/>
      <c r="L235" s="148"/>
      <c r="M235" s="149"/>
      <c r="N235" s="144"/>
      <c r="O235" s="144"/>
      <c r="P235" s="144"/>
      <c r="Q235" s="145"/>
      <c r="R235" s="145"/>
      <c r="S235" s="148"/>
      <c r="T235" s="147"/>
      <c r="U235" s="144"/>
      <c r="V235" s="144"/>
    </row>
    <row r="236" spans="1:22" ht="14" x14ac:dyDescent="0.15">
      <c r="A236" s="144"/>
      <c r="B236" s="144"/>
      <c r="C236" s="145"/>
      <c r="D236" s="145"/>
      <c r="E236" s="148"/>
      <c r="F236" s="147"/>
      <c r="G236" s="144"/>
      <c r="H236" s="144"/>
      <c r="I236" s="144"/>
      <c r="J236" s="145"/>
      <c r="K236" s="145"/>
      <c r="L236" s="148"/>
      <c r="M236" s="149"/>
      <c r="N236" s="144"/>
      <c r="O236" s="144"/>
      <c r="P236" s="144"/>
      <c r="Q236" s="145"/>
      <c r="R236" s="145"/>
      <c r="S236" s="148"/>
      <c r="T236" s="147"/>
      <c r="U236" s="144"/>
      <c r="V236" s="144"/>
    </row>
    <row r="237" spans="1:22" ht="14" x14ac:dyDescent="0.15">
      <c r="A237" s="144"/>
      <c r="B237" s="144"/>
      <c r="C237" s="145"/>
      <c r="D237" s="145"/>
      <c r="E237" s="148"/>
      <c r="F237" s="147"/>
      <c r="G237" s="144"/>
      <c r="H237" s="144"/>
      <c r="I237" s="144"/>
      <c r="J237" s="145"/>
      <c r="K237" s="145"/>
      <c r="L237" s="148"/>
      <c r="M237" s="149"/>
      <c r="N237" s="144"/>
      <c r="O237" s="144"/>
      <c r="P237" s="144"/>
      <c r="Q237" s="145"/>
      <c r="R237" s="145"/>
      <c r="S237" s="148"/>
      <c r="T237" s="147"/>
      <c r="U237" s="144"/>
      <c r="V237" s="144"/>
    </row>
    <row r="238" spans="1:22" ht="14" x14ac:dyDescent="0.15">
      <c r="A238" s="144"/>
      <c r="B238" s="144"/>
      <c r="C238" s="145"/>
      <c r="D238" s="145"/>
      <c r="E238" s="148"/>
      <c r="F238" s="147"/>
      <c r="G238" s="144"/>
      <c r="H238" s="144"/>
      <c r="I238" s="144"/>
      <c r="J238" s="145"/>
      <c r="K238" s="145"/>
      <c r="L238" s="148"/>
      <c r="M238" s="149"/>
      <c r="N238" s="144"/>
      <c r="O238" s="144"/>
      <c r="P238" s="144"/>
      <c r="Q238" s="145"/>
      <c r="R238" s="145"/>
      <c r="S238" s="148"/>
      <c r="T238" s="147"/>
      <c r="U238" s="144"/>
      <c r="V238" s="144"/>
    </row>
    <row r="239" spans="1:22" ht="14" x14ac:dyDescent="0.15">
      <c r="A239" s="144"/>
      <c r="B239" s="144"/>
      <c r="C239" s="145"/>
      <c r="D239" s="145"/>
      <c r="E239" s="148"/>
      <c r="F239" s="147"/>
      <c r="G239" s="144"/>
      <c r="H239" s="144"/>
      <c r="I239" s="144"/>
      <c r="J239" s="145"/>
      <c r="K239" s="145"/>
      <c r="L239" s="148"/>
      <c r="M239" s="149"/>
      <c r="N239" s="144"/>
      <c r="O239" s="144"/>
      <c r="P239" s="144"/>
      <c r="Q239" s="145"/>
      <c r="R239" s="145"/>
      <c r="S239" s="148"/>
      <c r="T239" s="147"/>
      <c r="U239" s="144"/>
      <c r="V239" s="144"/>
    </row>
    <row r="240" spans="1:22" ht="14" x14ac:dyDescent="0.15">
      <c r="A240" s="144"/>
      <c r="B240" s="144"/>
      <c r="C240" s="145"/>
      <c r="D240" s="145"/>
      <c r="E240" s="148"/>
      <c r="F240" s="147"/>
      <c r="G240" s="144"/>
      <c r="H240" s="144"/>
      <c r="I240" s="144"/>
      <c r="J240" s="145"/>
      <c r="K240" s="145"/>
      <c r="L240" s="148"/>
      <c r="M240" s="149"/>
      <c r="N240" s="144"/>
      <c r="O240" s="144"/>
      <c r="P240" s="144"/>
      <c r="Q240" s="145"/>
      <c r="R240" s="145"/>
      <c r="S240" s="148"/>
      <c r="T240" s="147"/>
      <c r="U240" s="144"/>
      <c r="V240" s="144"/>
    </row>
    <row r="241" spans="1:22" ht="14" x14ac:dyDescent="0.15">
      <c r="A241" s="144"/>
      <c r="B241" s="144"/>
      <c r="C241" s="145"/>
      <c r="D241" s="145"/>
      <c r="E241" s="148"/>
      <c r="F241" s="147"/>
      <c r="G241" s="144"/>
      <c r="H241" s="144"/>
      <c r="I241" s="144"/>
      <c r="J241" s="145"/>
      <c r="K241" s="145"/>
      <c r="L241" s="148"/>
      <c r="M241" s="149"/>
      <c r="N241" s="144"/>
      <c r="O241" s="144"/>
      <c r="P241" s="144"/>
      <c r="Q241" s="145"/>
      <c r="R241" s="145"/>
      <c r="S241" s="148"/>
      <c r="T241" s="147"/>
      <c r="U241" s="144"/>
      <c r="V241" s="144"/>
    </row>
    <row r="242" spans="1:22" ht="14" x14ac:dyDescent="0.15">
      <c r="A242" s="144"/>
      <c r="B242" s="144"/>
      <c r="C242" s="145"/>
      <c r="D242" s="145"/>
      <c r="E242" s="148"/>
      <c r="F242" s="147"/>
      <c r="G242" s="144"/>
      <c r="H242" s="144"/>
      <c r="I242" s="144"/>
      <c r="J242" s="145"/>
      <c r="K242" s="145"/>
      <c r="L242" s="148"/>
      <c r="M242" s="149"/>
      <c r="N242" s="144"/>
      <c r="O242" s="144"/>
      <c r="P242" s="144"/>
      <c r="Q242" s="145"/>
      <c r="R242" s="145"/>
      <c r="S242" s="148"/>
      <c r="T242" s="147"/>
      <c r="U242" s="144"/>
      <c r="V242" s="144"/>
    </row>
    <row r="243" spans="1:22" ht="14" x14ac:dyDescent="0.15">
      <c r="A243" s="144"/>
      <c r="B243" s="144"/>
      <c r="C243" s="145"/>
      <c r="D243" s="145"/>
      <c r="E243" s="148"/>
      <c r="F243" s="147"/>
      <c r="G243" s="144"/>
      <c r="H243" s="144"/>
      <c r="I243" s="144"/>
      <c r="J243" s="145"/>
      <c r="K243" s="145"/>
      <c r="L243" s="148"/>
      <c r="M243" s="149"/>
      <c r="N243" s="144"/>
      <c r="O243" s="144"/>
      <c r="P243" s="144"/>
      <c r="Q243" s="145"/>
      <c r="R243" s="145"/>
      <c r="S243" s="148"/>
      <c r="T243" s="147"/>
      <c r="U243" s="144"/>
      <c r="V243" s="144"/>
    </row>
    <row r="244" spans="1:22" ht="14" x14ac:dyDescent="0.15">
      <c r="A244" s="144"/>
      <c r="B244" s="144"/>
      <c r="C244" s="145"/>
      <c r="D244" s="145"/>
      <c r="E244" s="148"/>
      <c r="F244" s="147"/>
      <c r="G244" s="144"/>
      <c r="H244" s="144"/>
      <c r="I244" s="144"/>
      <c r="J244" s="145"/>
      <c r="K244" s="145"/>
      <c r="L244" s="148"/>
      <c r="M244" s="149"/>
      <c r="N244" s="144"/>
      <c r="O244" s="144"/>
      <c r="P244" s="144"/>
      <c r="Q244" s="145"/>
      <c r="R244" s="145"/>
      <c r="S244" s="148"/>
      <c r="T244" s="147"/>
      <c r="U244" s="144"/>
      <c r="V244" s="144"/>
    </row>
    <row r="245" spans="1:22" ht="14" x14ac:dyDescent="0.15">
      <c r="A245" s="144"/>
      <c r="B245" s="144"/>
      <c r="C245" s="145"/>
      <c r="D245" s="145"/>
      <c r="E245" s="148"/>
      <c r="F245" s="147"/>
      <c r="G245" s="144"/>
      <c r="H245" s="144"/>
      <c r="I245" s="144"/>
      <c r="J245" s="145"/>
      <c r="K245" s="145"/>
      <c r="L245" s="148"/>
      <c r="M245" s="149"/>
      <c r="N245" s="144"/>
      <c r="O245" s="144"/>
      <c r="P245" s="144"/>
      <c r="Q245" s="145"/>
      <c r="R245" s="145"/>
      <c r="S245" s="148"/>
      <c r="T245" s="147"/>
      <c r="U245" s="144"/>
      <c r="V245" s="144"/>
    </row>
    <row r="246" spans="1:22" ht="14" x14ac:dyDescent="0.15">
      <c r="A246" s="144"/>
      <c r="B246" s="144"/>
      <c r="C246" s="145"/>
      <c r="D246" s="145"/>
      <c r="E246" s="148"/>
      <c r="F246" s="147"/>
      <c r="G246" s="144"/>
      <c r="H246" s="144"/>
      <c r="I246" s="144"/>
      <c r="J246" s="145"/>
      <c r="K246" s="145"/>
      <c r="L246" s="148"/>
      <c r="M246" s="149"/>
      <c r="N246" s="144"/>
      <c r="O246" s="144"/>
      <c r="P246" s="144"/>
      <c r="Q246" s="145"/>
      <c r="R246" s="145"/>
      <c r="S246" s="148"/>
      <c r="T246" s="147"/>
      <c r="U246" s="144"/>
      <c r="V246" s="144"/>
    </row>
    <row r="247" spans="1:22" ht="14" x14ac:dyDescent="0.15">
      <c r="A247" s="144"/>
      <c r="B247" s="144"/>
      <c r="C247" s="145"/>
      <c r="D247" s="145"/>
      <c r="E247" s="148"/>
      <c r="F247" s="147"/>
      <c r="G247" s="144"/>
      <c r="H247" s="144"/>
      <c r="I247" s="144"/>
      <c r="J247" s="145"/>
      <c r="K247" s="145"/>
      <c r="L247" s="148"/>
      <c r="M247" s="149"/>
      <c r="N247" s="144"/>
      <c r="O247" s="144"/>
      <c r="P247" s="144"/>
      <c r="Q247" s="145"/>
      <c r="R247" s="145"/>
      <c r="S247" s="148"/>
      <c r="T247" s="147"/>
      <c r="U247" s="144"/>
      <c r="V247" s="144"/>
    </row>
    <row r="248" spans="1:22" ht="14" x14ac:dyDescent="0.15">
      <c r="A248" s="144"/>
      <c r="B248" s="144"/>
      <c r="C248" s="145"/>
      <c r="D248" s="145"/>
      <c r="E248" s="148"/>
      <c r="F248" s="147"/>
      <c r="G248" s="144"/>
      <c r="H248" s="144"/>
      <c r="I248" s="144"/>
      <c r="J248" s="145"/>
      <c r="K248" s="145"/>
      <c r="L248" s="148"/>
      <c r="M248" s="149"/>
      <c r="N248" s="144"/>
      <c r="O248" s="144"/>
      <c r="P248" s="144"/>
      <c r="Q248" s="145"/>
      <c r="R248" s="145"/>
      <c r="S248" s="148"/>
      <c r="T248" s="147"/>
      <c r="U248" s="144"/>
      <c r="V248" s="144"/>
    </row>
    <row r="249" spans="1:22" ht="14" x14ac:dyDescent="0.15">
      <c r="A249" s="144"/>
      <c r="B249" s="144"/>
      <c r="C249" s="145"/>
      <c r="D249" s="145"/>
      <c r="E249" s="148"/>
      <c r="F249" s="147"/>
      <c r="G249" s="144"/>
      <c r="H249" s="144"/>
      <c r="I249" s="144"/>
      <c r="J249" s="145"/>
      <c r="K249" s="145"/>
      <c r="L249" s="148"/>
      <c r="M249" s="149"/>
      <c r="N249" s="144"/>
      <c r="O249" s="144"/>
      <c r="P249" s="144"/>
      <c r="Q249" s="145"/>
      <c r="R249" s="145"/>
      <c r="S249" s="148"/>
      <c r="T249" s="147"/>
      <c r="U249" s="144"/>
      <c r="V249" s="144"/>
    </row>
    <row r="250" spans="1:22" ht="14" x14ac:dyDescent="0.15">
      <c r="A250" s="144"/>
      <c r="B250" s="144"/>
      <c r="C250" s="145"/>
      <c r="D250" s="145"/>
      <c r="E250" s="148"/>
      <c r="F250" s="147"/>
      <c r="G250" s="144"/>
      <c r="H250" s="144"/>
      <c r="I250" s="144"/>
      <c r="J250" s="145"/>
      <c r="K250" s="145"/>
      <c r="L250" s="148"/>
      <c r="M250" s="149"/>
      <c r="N250" s="144"/>
      <c r="O250" s="144"/>
      <c r="P250" s="144"/>
      <c r="Q250" s="145"/>
      <c r="R250" s="145"/>
      <c r="S250" s="148"/>
      <c r="T250" s="147"/>
      <c r="U250" s="144"/>
      <c r="V250" s="144"/>
    </row>
    <row r="251" spans="1:22" ht="14" x14ac:dyDescent="0.15">
      <c r="A251" s="144"/>
      <c r="B251" s="144"/>
      <c r="C251" s="145"/>
      <c r="D251" s="145"/>
      <c r="E251" s="148"/>
      <c r="F251" s="147"/>
      <c r="G251" s="144"/>
      <c r="H251" s="144"/>
      <c r="I251" s="144"/>
      <c r="J251" s="145"/>
      <c r="K251" s="145"/>
      <c r="L251" s="148"/>
      <c r="M251" s="149"/>
      <c r="N251" s="144"/>
      <c r="O251" s="144"/>
      <c r="P251" s="144"/>
      <c r="Q251" s="145"/>
      <c r="R251" s="145"/>
      <c r="S251" s="148"/>
      <c r="T251" s="147"/>
      <c r="U251" s="144"/>
      <c r="V251" s="144"/>
    </row>
    <row r="252" spans="1:22" ht="14" x14ac:dyDescent="0.15">
      <c r="A252" s="144"/>
      <c r="B252" s="144"/>
      <c r="C252" s="145"/>
      <c r="D252" s="145"/>
      <c r="E252" s="148"/>
      <c r="F252" s="147"/>
      <c r="G252" s="144"/>
      <c r="H252" s="144"/>
      <c r="I252" s="144"/>
      <c r="J252" s="145"/>
      <c r="K252" s="145"/>
      <c r="L252" s="148"/>
      <c r="M252" s="149"/>
      <c r="N252" s="144"/>
      <c r="O252" s="144"/>
      <c r="P252" s="144"/>
      <c r="Q252" s="145"/>
      <c r="R252" s="145"/>
      <c r="S252" s="148"/>
      <c r="T252" s="147"/>
      <c r="U252" s="144"/>
      <c r="V252" s="144"/>
    </row>
    <row r="253" spans="1:22" ht="14" x14ac:dyDescent="0.15">
      <c r="A253" s="144"/>
      <c r="B253" s="144"/>
      <c r="C253" s="145"/>
      <c r="D253" s="145"/>
      <c r="E253" s="148"/>
      <c r="F253" s="147"/>
      <c r="G253" s="144"/>
      <c r="H253" s="144"/>
      <c r="I253" s="144"/>
      <c r="J253" s="145"/>
      <c r="K253" s="145"/>
      <c r="L253" s="148"/>
      <c r="M253" s="149"/>
      <c r="N253" s="144"/>
      <c r="O253" s="144"/>
      <c r="P253" s="144"/>
      <c r="Q253" s="145"/>
      <c r="R253" s="145"/>
      <c r="S253" s="148"/>
      <c r="T253" s="147"/>
      <c r="U253" s="144"/>
      <c r="V253" s="144"/>
    </row>
    <row r="254" spans="1:22" ht="14" x14ac:dyDescent="0.15">
      <c r="A254" s="144"/>
      <c r="B254" s="144"/>
      <c r="C254" s="145"/>
      <c r="D254" s="145"/>
      <c r="E254" s="148"/>
      <c r="F254" s="147"/>
      <c r="G254" s="144"/>
      <c r="H254" s="144"/>
      <c r="I254" s="144"/>
      <c r="J254" s="145"/>
      <c r="K254" s="145"/>
      <c r="L254" s="148"/>
      <c r="M254" s="149"/>
      <c r="N254" s="144"/>
      <c r="O254" s="144"/>
      <c r="P254" s="144"/>
      <c r="Q254" s="145"/>
      <c r="R254" s="145"/>
      <c r="S254" s="148"/>
      <c r="T254" s="147"/>
      <c r="U254" s="144"/>
      <c r="V254" s="144"/>
    </row>
    <row r="255" spans="1:22" ht="14" x14ac:dyDescent="0.15">
      <c r="A255" s="144"/>
      <c r="B255" s="144"/>
      <c r="C255" s="145"/>
      <c r="D255" s="145"/>
      <c r="E255" s="148"/>
      <c r="F255" s="147"/>
      <c r="G255" s="144"/>
      <c r="H255" s="144"/>
      <c r="I255" s="144"/>
      <c r="J255" s="145"/>
      <c r="K255" s="145"/>
      <c r="L255" s="148"/>
      <c r="M255" s="149"/>
      <c r="N255" s="144"/>
      <c r="O255" s="144"/>
      <c r="P255" s="144"/>
      <c r="Q255" s="145"/>
      <c r="R255" s="145"/>
      <c r="S255" s="148"/>
      <c r="T255" s="147"/>
      <c r="U255" s="144"/>
      <c r="V255" s="144"/>
    </row>
    <row r="256" spans="1:22" ht="14" x14ac:dyDescent="0.15">
      <c r="A256" s="144"/>
      <c r="B256" s="144"/>
      <c r="C256" s="145"/>
      <c r="D256" s="145"/>
      <c r="E256" s="148"/>
      <c r="F256" s="147"/>
      <c r="G256" s="144"/>
      <c r="H256" s="144"/>
      <c r="I256" s="144"/>
      <c r="J256" s="145"/>
      <c r="K256" s="145"/>
      <c r="L256" s="148"/>
      <c r="M256" s="149"/>
      <c r="N256" s="144"/>
      <c r="O256" s="144"/>
      <c r="P256" s="144"/>
      <c r="Q256" s="145"/>
      <c r="R256" s="145"/>
      <c r="S256" s="148"/>
      <c r="T256" s="147"/>
      <c r="U256" s="144"/>
      <c r="V256" s="144"/>
    </row>
    <row r="257" spans="1:22" ht="14" x14ac:dyDescent="0.15">
      <c r="A257" s="144"/>
      <c r="B257" s="144"/>
      <c r="C257" s="145"/>
      <c r="D257" s="145"/>
      <c r="E257" s="148"/>
      <c r="F257" s="147"/>
      <c r="G257" s="144"/>
      <c r="H257" s="144"/>
      <c r="I257" s="144"/>
      <c r="J257" s="145"/>
      <c r="K257" s="145"/>
      <c r="L257" s="148"/>
      <c r="M257" s="149"/>
      <c r="N257" s="144"/>
      <c r="O257" s="144"/>
      <c r="P257" s="144"/>
      <c r="Q257" s="145"/>
      <c r="R257" s="145"/>
      <c r="S257" s="148"/>
      <c r="T257" s="147"/>
      <c r="U257" s="144"/>
      <c r="V257" s="144"/>
    </row>
    <row r="258" spans="1:22" ht="14" x14ac:dyDescent="0.15">
      <c r="A258" s="144"/>
      <c r="B258" s="144"/>
      <c r="C258" s="145"/>
      <c r="D258" s="145"/>
      <c r="E258" s="148"/>
      <c r="F258" s="147"/>
      <c r="G258" s="144"/>
      <c r="H258" s="144"/>
      <c r="I258" s="144"/>
      <c r="J258" s="145"/>
      <c r="K258" s="145"/>
      <c r="L258" s="148"/>
      <c r="M258" s="149"/>
      <c r="N258" s="144"/>
      <c r="O258" s="144"/>
      <c r="P258" s="144"/>
      <c r="Q258" s="145"/>
      <c r="R258" s="145"/>
      <c r="S258" s="148"/>
      <c r="T258" s="147"/>
      <c r="U258" s="144"/>
      <c r="V258" s="144"/>
    </row>
    <row r="259" spans="1:22" ht="14" x14ac:dyDescent="0.15">
      <c r="A259" s="144"/>
      <c r="B259" s="144"/>
      <c r="C259" s="145"/>
      <c r="D259" s="145"/>
      <c r="E259" s="148"/>
      <c r="F259" s="147"/>
      <c r="G259" s="144"/>
      <c r="H259" s="144"/>
      <c r="I259" s="144"/>
      <c r="J259" s="145"/>
      <c r="K259" s="145"/>
      <c r="L259" s="148"/>
      <c r="M259" s="149"/>
      <c r="N259" s="144"/>
      <c r="O259" s="144"/>
      <c r="P259" s="144"/>
      <c r="Q259" s="145"/>
      <c r="R259" s="145"/>
      <c r="S259" s="148"/>
      <c r="T259" s="147"/>
      <c r="U259" s="144"/>
      <c r="V259" s="144"/>
    </row>
    <row r="260" spans="1:22" ht="14" x14ac:dyDescent="0.15">
      <c r="A260" s="144"/>
      <c r="B260" s="144"/>
      <c r="C260" s="145"/>
      <c r="D260" s="145"/>
      <c r="E260" s="148"/>
      <c r="F260" s="147"/>
      <c r="G260" s="144"/>
      <c r="H260" s="144"/>
      <c r="I260" s="144"/>
      <c r="J260" s="145"/>
      <c r="K260" s="145"/>
      <c r="L260" s="148"/>
      <c r="M260" s="149"/>
      <c r="N260" s="144"/>
      <c r="O260" s="144"/>
      <c r="P260" s="144"/>
      <c r="Q260" s="145"/>
      <c r="R260" s="145"/>
      <c r="S260" s="148"/>
      <c r="T260" s="147"/>
      <c r="U260" s="144"/>
      <c r="V260" s="144"/>
    </row>
    <row r="261" spans="1:22" ht="14" x14ac:dyDescent="0.15">
      <c r="A261" s="144"/>
      <c r="B261" s="144"/>
      <c r="C261" s="145"/>
      <c r="D261" s="145"/>
      <c r="E261" s="148"/>
      <c r="F261" s="147"/>
      <c r="G261" s="144"/>
      <c r="H261" s="144"/>
      <c r="I261" s="144"/>
      <c r="J261" s="145"/>
      <c r="K261" s="145"/>
      <c r="L261" s="148"/>
      <c r="M261" s="149"/>
      <c r="N261" s="144"/>
      <c r="O261" s="144"/>
      <c r="P261" s="144"/>
      <c r="Q261" s="145"/>
      <c r="R261" s="145"/>
      <c r="S261" s="148"/>
      <c r="T261" s="147"/>
      <c r="U261" s="144"/>
      <c r="V261" s="144"/>
    </row>
    <row r="262" spans="1:22" ht="14" x14ac:dyDescent="0.15">
      <c r="A262" s="144"/>
      <c r="B262" s="144"/>
      <c r="C262" s="145"/>
      <c r="D262" s="145"/>
      <c r="E262" s="148"/>
      <c r="F262" s="147"/>
      <c r="G262" s="144"/>
      <c r="H262" s="144"/>
      <c r="I262" s="144"/>
      <c r="J262" s="145"/>
      <c r="K262" s="145"/>
      <c r="L262" s="148"/>
      <c r="M262" s="149"/>
      <c r="N262" s="144"/>
      <c r="O262" s="144"/>
      <c r="P262" s="144"/>
      <c r="Q262" s="145"/>
      <c r="R262" s="145"/>
      <c r="S262" s="148"/>
      <c r="T262" s="147"/>
      <c r="U262" s="144"/>
      <c r="V262" s="144"/>
    </row>
    <row r="263" spans="1:22" ht="14" x14ac:dyDescent="0.15">
      <c r="A263" s="144"/>
      <c r="B263" s="144"/>
      <c r="C263" s="145"/>
      <c r="D263" s="145"/>
      <c r="E263" s="148"/>
      <c r="F263" s="147"/>
      <c r="G263" s="144"/>
      <c r="H263" s="144"/>
      <c r="I263" s="144"/>
      <c r="J263" s="145"/>
      <c r="K263" s="145"/>
      <c r="L263" s="148"/>
      <c r="M263" s="149"/>
      <c r="N263" s="144"/>
      <c r="O263" s="144"/>
      <c r="P263" s="144"/>
      <c r="Q263" s="145"/>
      <c r="R263" s="145"/>
      <c r="S263" s="148"/>
      <c r="T263" s="147"/>
      <c r="U263" s="144"/>
      <c r="V263" s="144"/>
    </row>
    <row r="264" spans="1:22" ht="14" x14ac:dyDescent="0.15">
      <c r="A264" s="144"/>
      <c r="B264" s="144"/>
      <c r="C264" s="145"/>
      <c r="D264" s="145"/>
      <c r="E264" s="148"/>
      <c r="F264" s="147"/>
      <c r="G264" s="144"/>
      <c r="H264" s="144"/>
      <c r="I264" s="144"/>
      <c r="J264" s="145"/>
      <c r="K264" s="145"/>
      <c r="L264" s="148"/>
      <c r="M264" s="149"/>
      <c r="N264" s="144"/>
      <c r="O264" s="144"/>
      <c r="P264" s="144"/>
      <c r="Q264" s="145"/>
      <c r="R264" s="145"/>
      <c r="S264" s="148"/>
      <c r="T264" s="147"/>
      <c r="U264" s="144"/>
      <c r="V264" s="144"/>
    </row>
    <row r="265" spans="1:22" ht="14" x14ac:dyDescent="0.15">
      <c r="A265" s="144"/>
      <c r="B265" s="144"/>
      <c r="C265" s="145"/>
      <c r="D265" s="145"/>
      <c r="E265" s="148"/>
      <c r="F265" s="147"/>
      <c r="G265" s="144"/>
      <c r="H265" s="144"/>
      <c r="I265" s="144"/>
      <c r="J265" s="145"/>
      <c r="K265" s="145"/>
      <c r="L265" s="148"/>
      <c r="M265" s="149"/>
      <c r="N265" s="144"/>
      <c r="O265" s="144"/>
      <c r="P265" s="144"/>
      <c r="Q265" s="145"/>
      <c r="R265" s="145"/>
      <c r="S265" s="148"/>
      <c r="T265" s="147"/>
      <c r="U265" s="144"/>
      <c r="V265" s="144"/>
    </row>
    <row r="266" spans="1:22" ht="14" x14ac:dyDescent="0.15">
      <c r="A266" s="144"/>
      <c r="B266" s="144"/>
      <c r="C266" s="145"/>
      <c r="D266" s="145"/>
      <c r="E266" s="148"/>
      <c r="F266" s="147"/>
      <c r="G266" s="144"/>
      <c r="H266" s="144"/>
      <c r="I266" s="144"/>
      <c r="J266" s="145"/>
      <c r="K266" s="145"/>
      <c r="L266" s="148"/>
      <c r="M266" s="149"/>
      <c r="N266" s="144"/>
      <c r="O266" s="144"/>
      <c r="P266" s="144"/>
      <c r="Q266" s="145"/>
      <c r="R266" s="145"/>
      <c r="S266" s="148"/>
      <c r="T266" s="147"/>
      <c r="U266" s="144"/>
      <c r="V266" s="144"/>
    </row>
    <row r="267" spans="1:22" ht="14" x14ac:dyDescent="0.15">
      <c r="A267" s="144"/>
      <c r="B267" s="144"/>
      <c r="C267" s="145"/>
      <c r="D267" s="145"/>
      <c r="E267" s="148"/>
      <c r="F267" s="147"/>
      <c r="G267" s="144"/>
      <c r="H267" s="144"/>
      <c r="I267" s="144"/>
      <c r="J267" s="145"/>
      <c r="K267" s="145"/>
      <c r="L267" s="148"/>
      <c r="M267" s="149"/>
      <c r="N267" s="144"/>
      <c r="O267" s="144"/>
      <c r="P267" s="144"/>
      <c r="Q267" s="145"/>
      <c r="R267" s="145"/>
      <c r="S267" s="148"/>
      <c r="T267" s="147"/>
      <c r="U267" s="144"/>
      <c r="V267" s="144"/>
    </row>
    <row r="268" spans="1:22" ht="14" x14ac:dyDescent="0.15">
      <c r="A268" s="144"/>
      <c r="B268" s="144"/>
      <c r="C268" s="145"/>
      <c r="D268" s="145"/>
      <c r="E268" s="148"/>
      <c r="F268" s="147"/>
      <c r="G268" s="144"/>
      <c r="H268" s="144"/>
      <c r="I268" s="144"/>
      <c r="J268" s="145"/>
      <c r="K268" s="145"/>
      <c r="L268" s="148"/>
      <c r="M268" s="149"/>
      <c r="N268" s="144"/>
      <c r="O268" s="144"/>
      <c r="P268" s="144"/>
      <c r="Q268" s="145"/>
      <c r="R268" s="145"/>
      <c r="S268" s="148"/>
      <c r="T268" s="147"/>
      <c r="U268" s="144"/>
      <c r="V268" s="144"/>
    </row>
    <row r="269" spans="1:22" ht="14" x14ac:dyDescent="0.15">
      <c r="A269" s="144"/>
      <c r="B269" s="144"/>
      <c r="C269" s="145"/>
      <c r="D269" s="145"/>
      <c r="E269" s="148"/>
      <c r="F269" s="147"/>
      <c r="G269" s="144"/>
      <c r="H269" s="144"/>
      <c r="I269" s="144"/>
      <c r="J269" s="145"/>
      <c r="K269" s="145"/>
      <c r="L269" s="148"/>
      <c r="M269" s="149"/>
      <c r="N269" s="144"/>
      <c r="O269" s="144"/>
      <c r="P269" s="144"/>
      <c r="Q269" s="145"/>
      <c r="R269" s="145"/>
      <c r="S269" s="148"/>
      <c r="T269" s="147"/>
      <c r="U269" s="144"/>
      <c r="V269" s="144"/>
    </row>
    <row r="270" spans="1:22" ht="14" x14ac:dyDescent="0.15">
      <c r="A270" s="144"/>
      <c r="B270" s="144"/>
      <c r="C270" s="145"/>
      <c r="D270" s="145"/>
      <c r="E270" s="148"/>
      <c r="F270" s="147"/>
      <c r="G270" s="144"/>
      <c r="H270" s="144"/>
      <c r="I270" s="144"/>
      <c r="J270" s="145"/>
      <c r="K270" s="145"/>
      <c r="L270" s="148"/>
      <c r="M270" s="149"/>
      <c r="N270" s="144"/>
      <c r="O270" s="144"/>
      <c r="P270" s="144"/>
      <c r="Q270" s="145"/>
      <c r="R270" s="145"/>
      <c r="S270" s="148"/>
      <c r="T270" s="147"/>
      <c r="U270" s="144"/>
      <c r="V270" s="144"/>
    </row>
    <row r="271" spans="1:22" ht="14" x14ac:dyDescent="0.15">
      <c r="A271" s="144"/>
      <c r="B271" s="144"/>
      <c r="C271" s="145"/>
      <c r="D271" s="145"/>
      <c r="E271" s="148"/>
      <c r="F271" s="147"/>
      <c r="G271" s="144"/>
      <c r="H271" s="144"/>
      <c r="I271" s="144"/>
      <c r="J271" s="145"/>
      <c r="K271" s="145"/>
      <c r="L271" s="148"/>
      <c r="M271" s="149"/>
      <c r="N271" s="144"/>
      <c r="O271" s="144"/>
      <c r="P271" s="144"/>
      <c r="Q271" s="145"/>
      <c r="R271" s="145"/>
      <c r="S271" s="148"/>
      <c r="T271" s="147"/>
      <c r="U271" s="144"/>
      <c r="V271" s="144"/>
    </row>
    <row r="272" spans="1:22" ht="14" x14ac:dyDescent="0.15">
      <c r="A272" s="144"/>
      <c r="B272" s="144"/>
      <c r="C272" s="145"/>
      <c r="D272" s="145"/>
      <c r="E272" s="148"/>
      <c r="F272" s="147"/>
      <c r="G272" s="144"/>
      <c r="H272" s="144"/>
      <c r="I272" s="144"/>
      <c r="J272" s="145"/>
      <c r="K272" s="145"/>
      <c r="L272" s="148"/>
      <c r="M272" s="149"/>
      <c r="N272" s="144"/>
      <c r="O272" s="144"/>
      <c r="P272" s="144"/>
      <c r="Q272" s="145"/>
      <c r="R272" s="145"/>
      <c r="S272" s="148"/>
      <c r="T272" s="147"/>
      <c r="U272" s="144"/>
      <c r="V272" s="144"/>
    </row>
    <row r="273" spans="1:22" ht="14" x14ac:dyDescent="0.15">
      <c r="A273" s="144"/>
      <c r="B273" s="144"/>
      <c r="C273" s="145"/>
      <c r="D273" s="145"/>
      <c r="E273" s="148"/>
      <c r="F273" s="147"/>
      <c r="G273" s="144"/>
      <c r="H273" s="144"/>
      <c r="I273" s="144"/>
      <c r="J273" s="145"/>
      <c r="K273" s="145"/>
      <c r="L273" s="148"/>
      <c r="M273" s="149"/>
      <c r="N273" s="144"/>
      <c r="O273" s="144"/>
      <c r="P273" s="144"/>
      <c r="Q273" s="145"/>
      <c r="R273" s="145"/>
      <c r="S273" s="148"/>
      <c r="T273" s="147"/>
      <c r="U273" s="144"/>
      <c r="V273" s="144"/>
    </row>
    <row r="274" spans="1:22" ht="14" x14ac:dyDescent="0.15">
      <c r="A274" s="144"/>
      <c r="B274" s="144"/>
      <c r="C274" s="145"/>
      <c r="D274" s="145"/>
      <c r="E274" s="148"/>
      <c r="F274" s="147"/>
      <c r="G274" s="144"/>
      <c r="H274" s="144"/>
      <c r="I274" s="144"/>
      <c r="J274" s="145"/>
      <c r="K274" s="145"/>
      <c r="L274" s="148"/>
      <c r="M274" s="149"/>
      <c r="N274" s="144"/>
      <c r="O274" s="144"/>
      <c r="P274" s="144"/>
      <c r="Q274" s="145"/>
      <c r="R274" s="145"/>
      <c r="S274" s="148"/>
      <c r="T274" s="147"/>
      <c r="U274" s="144"/>
      <c r="V274" s="144"/>
    </row>
    <row r="275" spans="1:22" ht="14" x14ac:dyDescent="0.15">
      <c r="A275" s="144"/>
      <c r="B275" s="144"/>
      <c r="C275" s="145"/>
      <c r="D275" s="145"/>
      <c r="E275" s="148"/>
      <c r="F275" s="147"/>
      <c r="G275" s="144"/>
      <c r="H275" s="144"/>
      <c r="I275" s="144"/>
      <c r="J275" s="145"/>
      <c r="K275" s="145"/>
      <c r="L275" s="148"/>
      <c r="M275" s="149"/>
      <c r="N275" s="144"/>
      <c r="O275" s="144"/>
      <c r="P275" s="144"/>
      <c r="Q275" s="145"/>
      <c r="R275" s="145"/>
      <c r="S275" s="148"/>
      <c r="T275" s="147"/>
      <c r="U275" s="144"/>
      <c r="V275" s="144"/>
    </row>
    <row r="276" spans="1:22" ht="14" x14ac:dyDescent="0.15">
      <c r="A276" s="144"/>
      <c r="B276" s="144"/>
      <c r="C276" s="145"/>
      <c r="D276" s="145"/>
      <c r="E276" s="148"/>
      <c r="F276" s="147"/>
      <c r="G276" s="144"/>
      <c r="H276" s="144"/>
      <c r="I276" s="144"/>
      <c r="J276" s="145"/>
      <c r="K276" s="145"/>
      <c r="L276" s="148"/>
      <c r="M276" s="149"/>
      <c r="N276" s="144"/>
      <c r="O276" s="144"/>
      <c r="P276" s="144"/>
      <c r="Q276" s="145"/>
      <c r="R276" s="145"/>
      <c r="S276" s="148"/>
      <c r="T276" s="147"/>
      <c r="U276" s="144"/>
      <c r="V276" s="144"/>
    </row>
    <row r="277" spans="1:22" ht="14" x14ac:dyDescent="0.15">
      <c r="A277" s="144"/>
      <c r="B277" s="144"/>
      <c r="C277" s="145"/>
      <c r="D277" s="145"/>
      <c r="E277" s="148"/>
      <c r="F277" s="147"/>
      <c r="G277" s="144"/>
      <c r="H277" s="144"/>
      <c r="I277" s="144"/>
      <c r="J277" s="145"/>
      <c r="K277" s="145"/>
      <c r="L277" s="148"/>
      <c r="M277" s="149"/>
      <c r="N277" s="144"/>
      <c r="O277" s="144"/>
      <c r="P277" s="144"/>
      <c r="Q277" s="145"/>
      <c r="R277" s="145"/>
      <c r="S277" s="148"/>
      <c r="T277" s="147"/>
      <c r="U277" s="144"/>
      <c r="V277" s="144"/>
    </row>
    <row r="278" spans="1:22" ht="14" x14ac:dyDescent="0.15">
      <c r="A278" s="144"/>
      <c r="B278" s="144"/>
      <c r="C278" s="145"/>
      <c r="D278" s="145"/>
      <c r="E278" s="148"/>
      <c r="F278" s="147"/>
      <c r="G278" s="144"/>
      <c r="H278" s="144"/>
      <c r="I278" s="144"/>
      <c r="J278" s="145"/>
      <c r="K278" s="145"/>
      <c r="L278" s="148"/>
      <c r="M278" s="149"/>
      <c r="N278" s="144"/>
      <c r="O278" s="144"/>
      <c r="P278" s="144"/>
      <c r="Q278" s="145"/>
      <c r="R278" s="145"/>
      <c r="S278" s="148"/>
      <c r="T278" s="147"/>
      <c r="U278" s="144"/>
      <c r="V278" s="144"/>
    </row>
    <row r="279" spans="1:22" ht="14" x14ac:dyDescent="0.15">
      <c r="A279" s="144"/>
      <c r="B279" s="144"/>
      <c r="C279" s="145"/>
      <c r="D279" s="145"/>
      <c r="E279" s="148"/>
      <c r="F279" s="147"/>
      <c r="G279" s="144"/>
      <c r="H279" s="144"/>
      <c r="I279" s="144"/>
      <c r="J279" s="145"/>
      <c r="K279" s="145"/>
      <c r="L279" s="148"/>
      <c r="M279" s="149"/>
      <c r="N279" s="144"/>
      <c r="O279" s="144"/>
      <c r="P279" s="144"/>
      <c r="Q279" s="145"/>
      <c r="R279" s="145"/>
      <c r="S279" s="148"/>
      <c r="T279" s="147"/>
      <c r="U279" s="144"/>
      <c r="V279" s="144"/>
    </row>
    <row r="280" spans="1:22" ht="14" x14ac:dyDescent="0.15">
      <c r="A280" s="144"/>
      <c r="B280" s="144"/>
      <c r="C280" s="145"/>
      <c r="D280" s="145"/>
      <c r="E280" s="148"/>
      <c r="F280" s="147"/>
      <c r="G280" s="144"/>
      <c r="H280" s="144"/>
      <c r="I280" s="144"/>
      <c r="J280" s="145"/>
      <c r="K280" s="145"/>
      <c r="L280" s="148"/>
      <c r="M280" s="149"/>
      <c r="N280" s="144"/>
      <c r="O280" s="144"/>
      <c r="P280" s="144"/>
      <c r="Q280" s="145"/>
      <c r="R280" s="145"/>
      <c r="S280" s="148"/>
      <c r="T280" s="147"/>
      <c r="U280" s="144"/>
      <c r="V280" s="144"/>
    </row>
    <row r="281" spans="1:22" ht="14" x14ac:dyDescent="0.15">
      <c r="A281" s="144"/>
      <c r="B281" s="144"/>
      <c r="C281" s="145"/>
      <c r="D281" s="145"/>
      <c r="E281" s="148"/>
      <c r="F281" s="147"/>
      <c r="G281" s="144"/>
      <c r="H281" s="144"/>
      <c r="I281" s="144"/>
      <c r="J281" s="145"/>
      <c r="K281" s="145"/>
      <c r="L281" s="148"/>
      <c r="M281" s="149"/>
      <c r="N281" s="144"/>
      <c r="O281" s="144"/>
      <c r="P281" s="144"/>
      <c r="Q281" s="145"/>
      <c r="R281" s="145"/>
      <c r="S281" s="148"/>
      <c r="T281" s="147"/>
      <c r="U281" s="144"/>
      <c r="V281" s="144"/>
    </row>
    <row r="282" spans="1:22" ht="14" x14ac:dyDescent="0.15">
      <c r="A282" s="144"/>
      <c r="B282" s="144"/>
      <c r="C282" s="145"/>
      <c r="D282" s="145"/>
      <c r="E282" s="148"/>
      <c r="F282" s="147"/>
      <c r="G282" s="144"/>
      <c r="H282" s="144"/>
      <c r="I282" s="144"/>
      <c r="J282" s="145"/>
      <c r="K282" s="145"/>
      <c r="L282" s="148"/>
      <c r="M282" s="149"/>
      <c r="N282" s="144"/>
      <c r="O282" s="144"/>
      <c r="P282" s="144"/>
      <c r="Q282" s="145"/>
      <c r="R282" s="145"/>
      <c r="S282" s="148"/>
      <c r="T282" s="147"/>
      <c r="U282" s="144"/>
      <c r="V282" s="144"/>
    </row>
    <row r="283" spans="1:22" ht="14" x14ac:dyDescent="0.15">
      <c r="A283" s="144"/>
      <c r="B283" s="144"/>
      <c r="C283" s="145"/>
      <c r="D283" s="145"/>
      <c r="E283" s="148"/>
      <c r="F283" s="147"/>
      <c r="G283" s="144"/>
      <c r="H283" s="144"/>
      <c r="I283" s="144"/>
      <c r="J283" s="145"/>
      <c r="K283" s="145"/>
      <c r="L283" s="148"/>
      <c r="M283" s="149"/>
      <c r="N283" s="144"/>
      <c r="O283" s="144"/>
      <c r="P283" s="144"/>
      <c r="Q283" s="145"/>
      <c r="R283" s="145"/>
      <c r="S283" s="148"/>
      <c r="T283" s="147"/>
      <c r="U283" s="144"/>
      <c r="V283" s="144"/>
    </row>
    <row r="284" spans="1:22" ht="14" x14ac:dyDescent="0.15">
      <c r="A284" s="144"/>
      <c r="B284" s="144"/>
      <c r="C284" s="145"/>
      <c r="D284" s="145"/>
      <c r="E284" s="148"/>
      <c r="F284" s="147"/>
      <c r="G284" s="144"/>
      <c r="H284" s="144"/>
      <c r="I284" s="144"/>
      <c r="J284" s="145"/>
      <c r="K284" s="145"/>
      <c r="L284" s="148"/>
      <c r="M284" s="149"/>
      <c r="N284" s="144"/>
      <c r="O284" s="144"/>
      <c r="P284" s="144"/>
      <c r="Q284" s="145"/>
      <c r="R284" s="145"/>
      <c r="S284" s="148"/>
      <c r="T284" s="147"/>
      <c r="U284" s="144"/>
      <c r="V284" s="144"/>
    </row>
    <row r="285" spans="1:22" ht="14" x14ac:dyDescent="0.15">
      <c r="A285" s="144"/>
      <c r="B285" s="144"/>
      <c r="C285" s="145"/>
      <c r="D285" s="145"/>
      <c r="E285" s="148"/>
      <c r="F285" s="147"/>
      <c r="G285" s="144"/>
      <c r="H285" s="144"/>
      <c r="I285" s="144"/>
      <c r="J285" s="145"/>
      <c r="K285" s="145"/>
      <c r="L285" s="148"/>
      <c r="M285" s="149"/>
      <c r="N285" s="144"/>
      <c r="O285" s="144"/>
      <c r="P285" s="144"/>
      <c r="Q285" s="145"/>
      <c r="R285" s="145"/>
      <c r="S285" s="148"/>
      <c r="T285" s="147"/>
      <c r="U285" s="144"/>
      <c r="V285" s="144"/>
    </row>
    <row r="286" spans="1:22" ht="14" x14ac:dyDescent="0.15">
      <c r="A286" s="144"/>
      <c r="B286" s="144"/>
      <c r="C286" s="145"/>
      <c r="D286" s="145"/>
      <c r="E286" s="148"/>
      <c r="F286" s="147"/>
      <c r="G286" s="144"/>
      <c r="H286" s="144"/>
      <c r="I286" s="144"/>
      <c r="J286" s="145"/>
      <c r="K286" s="145"/>
      <c r="L286" s="148"/>
      <c r="M286" s="149"/>
      <c r="N286" s="144"/>
      <c r="O286" s="144"/>
      <c r="P286" s="144"/>
      <c r="Q286" s="145"/>
      <c r="R286" s="145"/>
      <c r="S286" s="148"/>
      <c r="T286" s="147"/>
      <c r="U286" s="144"/>
      <c r="V286" s="144"/>
    </row>
    <row r="287" spans="1:22" ht="14" x14ac:dyDescent="0.15">
      <c r="A287" s="144"/>
      <c r="B287" s="144"/>
      <c r="C287" s="145"/>
      <c r="D287" s="145"/>
      <c r="E287" s="148"/>
      <c r="F287" s="147"/>
      <c r="G287" s="144"/>
      <c r="H287" s="144"/>
      <c r="I287" s="144"/>
      <c r="J287" s="145"/>
      <c r="K287" s="145"/>
      <c r="L287" s="148"/>
      <c r="M287" s="149"/>
      <c r="N287" s="144"/>
      <c r="O287" s="144"/>
      <c r="P287" s="144"/>
      <c r="Q287" s="145"/>
      <c r="R287" s="145"/>
      <c r="S287" s="148"/>
      <c r="T287" s="147"/>
      <c r="U287" s="144"/>
      <c r="V287" s="144"/>
    </row>
    <row r="288" spans="1:22" ht="14" x14ac:dyDescent="0.15">
      <c r="A288" s="144"/>
      <c r="B288" s="144"/>
      <c r="C288" s="145"/>
      <c r="D288" s="145"/>
      <c r="E288" s="148"/>
      <c r="F288" s="147"/>
      <c r="G288" s="144"/>
      <c r="H288" s="144"/>
      <c r="I288" s="144"/>
      <c r="J288" s="145"/>
      <c r="K288" s="145"/>
      <c r="L288" s="148"/>
      <c r="M288" s="149"/>
      <c r="N288" s="144"/>
      <c r="O288" s="144"/>
      <c r="P288" s="144"/>
      <c r="Q288" s="145"/>
      <c r="R288" s="145"/>
      <c r="S288" s="148"/>
      <c r="T288" s="147"/>
      <c r="U288" s="144"/>
      <c r="V288" s="144"/>
    </row>
    <row r="289" spans="1:22" ht="14" x14ac:dyDescent="0.15">
      <c r="A289" s="144"/>
      <c r="B289" s="144"/>
      <c r="C289" s="145"/>
      <c r="D289" s="145"/>
      <c r="E289" s="148"/>
      <c r="F289" s="147"/>
      <c r="G289" s="144"/>
      <c r="H289" s="144"/>
      <c r="I289" s="144"/>
      <c r="J289" s="145"/>
      <c r="K289" s="145"/>
      <c r="L289" s="148"/>
      <c r="M289" s="149"/>
      <c r="N289" s="144"/>
      <c r="O289" s="144"/>
      <c r="P289" s="144"/>
      <c r="Q289" s="145"/>
      <c r="R289" s="145"/>
      <c r="S289" s="148"/>
      <c r="T289" s="147"/>
      <c r="U289" s="144"/>
      <c r="V289" s="144"/>
    </row>
    <row r="290" spans="1:22" ht="14" x14ac:dyDescent="0.15">
      <c r="A290" s="144"/>
      <c r="B290" s="144"/>
      <c r="C290" s="145"/>
      <c r="D290" s="145"/>
      <c r="E290" s="148"/>
      <c r="F290" s="147"/>
      <c r="G290" s="144"/>
      <c r="H290" s="144"/>
      <c r="I290" s="144"/>
      <c r="J290" s="145"/>
      <c r="K290" s="145"/>
      <c r="L290" s="148"/>
      <c r="M290" s="149"/>
      <c r="N290" s="144"/>
      <c r="O290" s="144"/>
      <c r="P290" s="144"/>
      <c r="Q290" s="145"/>
      <c r="R290" s="145"/>
      <c r="S290" s="148"/>
      <c r="T290" s="147"/>
      <c r="U290" s="144"/>
      <c r="V290" s="144"/>
    </row>
    <row r="291" spans="1:22" ht="14" x14ac:dyDescent="0.15">
      <c r="A291" s="144"/>
      <c r="B291" s="144"/>
      <c r="C291" s="145"/>
      <c r="D291" s="145"/>
      <c r="E291" s="148"/>
      <c r="F291" s="147"/>
      <c r="G291" s="144"/>
      <c r="H291" s="144"/>
      <c r="I291" s="144"/>
      <c r="J291" s="145"/>
      <c r="K291" s="145"/>
      <c r="L291" s="148"/>
      <c r="M291" s="149"/>
      <c r="N291" s="144"/>
      <c r="O291" s="144"/>
      <c r="P291" s="144"/>
      <c r="Q291" s="145"/>
      <c r="R291" s="145"/>
      <c r="S291" s="148"/>
      <c r="T291" s="147"/>
      <c r="U291" s="144"/>
      <c r="V291" s="144"/>
    </row>
    <row r="292" spans="1:22" ht="14" x14ac:dyDescent="0.15">
      <c r="A292" s="144"/>
      <c r="B292" s="144"/>
      <c r="C292" s="145"/>
      <c r="D292" s="145"/>
      <c r="E292" s="148"/>
      <c r="F292" s="147"/>
      <c r="G292" s="144"/>
      <c r="H292" s="144"/>
      <c r="I292" s="144"/>
      <c r="J292" s="145"/>
      <c r="K292" s="145"/>
      <c r="L292" s="148"/>
      <c r="M292" s="149"/>
      <c r="N292" s="144"/>
      <c r="O292" s="144"/>
      <c r="P292" s="144"/>
      <c r="Q292" s="145"/>
      <c r="R292" s="145"/>
      <c r="S292" s="148"/>
      <c r="T292" s="147"/>
      <c r="U292" s="144"/>
      <c r="V292" s="144"/>
    </row>
    <row r="293" spans="1:22" ht="14" x14ac:dyDescent="0.15">
      <c r="A293" s="144"/>
      <c r="B293" s="144"/>
      <c r="C293" s="145"/>
      <c r="D293" s="145"/>
      <c r="E293" s="148"/>
      <c r="F293" s="147"/>
      <c r="G293" s="144"/>
      <c r="H293" s="144"/>
      <c r="I293" s="144"/>
      <c r="J293" s="145"/>
      <c r="K293" s="145"/>
      <c r="L293" s="148"/>
      <c r="M293" s="149"/>
      <c r="N293" s="144"/>
      <c r="O293" s="144"/>
      <c r="P293" s="144"/>
      <c r="Q293" s="145"/>
      <c r="R293" s="145"/>
      <c r="S293" s="148"/>
      <c r="T293" s="147"/>
      <c r="U293" s="144"/>
      <c r="V293" s="144"/>
    </row>
    <row r="294" spans="1:22" ht="14" x14ac:dyDescent="0.15">
      <c r="A294" s="144"/>
      <c r="B294" s="144"/>
      <c r="C294" s="145"/>
      <c r="D294" s="145"/>
      <c r="E294" s="148"/>
      <c r="F294" s="147"/>
      <c r="G294" s="144"/>
      <c r="H294" s="144"/>
      <c r="I294" s="144"/>
      <c r="J294" s="145"/>
      <c r="K294" s="145"/>
      <c r="L294" s="148"/>
      <c r="M294" s="149"/>
      <c r="N294" s="144"/>
      <c r="O294" s="144"/>
      <c r="P294" s="144"/>
      <c r="Q294" s="145"/>
      <c r="R294" s="145"/>
      <c r="S294" s="148"/>
      <c r="T294" s="147"/>
      <c r="U294" s="144"/>
      <c r="V294" s="144"/>
    </row>
    <row r="295" spans="1:22" ht="14" x14ac:dyDescent="0.15">
      <c r="A295" s="144"/>
      <c r="B295" s="144"/>
      <c r="C295" s="145"/>
      <c r="D295" s="145"/>
      <c r="E295" s="148"/>
      <c r="F295" s="147"/>
      <c r="G295" s="144"/>
      <c r="H295" s="144"/>
      <c r="I295" s="144"/>
      <c r="J295" s="145"/>
      <c r="K295" s="145"/>
      <c r="L295" s="148"/>
      <c r="M295" s="149"/>
      <c r="N295" s="144"/>
      <c r="O295" s="144"/>
      <c r="P295" s="144"/>
      <c r="Q295" s="145"/>
      <c r="R295" s="145"/>
      <c r="S295" s="148"/>
      <c r="T295" s="147"/>
      <c r="U295" s="144"/>
      <c r="V295" s="144"/>
    </row>
    <row r="296" spans="1:22" ht="14" x14ac:dyDescent="0.15">
      <c r="A296" s="144"/>
      <c r="B296" s="144"/>
      <c r="C296" s="145"/>
      <c r="D296" s="145"/>
      <c r="E296" s="148"/>
      <c r="F296" s="147"/>
      <c r="G296" s="144"/>
      <c r="H296" s="144"/>
      <c r="I296" s="144"/>
      <c r="J296" s="145"/>
      <c r="K296" s="145"/>
      <c r="L296" s="148"/>
      <c r="M296" s="149"/>
      <c r="N296" s="144"/>
      <c r="O296" s="144"/>
      <c r="P296" s="144"/>
      <c r="Q296" s="145"/>
      <c r="R296" s="145"/>
      <c r="S296" s="148"/>
      <c r="T296" s="147"/>
      <c r="U296" s="144"/>
      <c r="V296" s="144"/>
    </row>
    <row r="297" spans="1:22" ht="14" x14ac:dyDescent="0.15">
      <c r="A297" s="144"/>
      <c r="B297" s="144"/>
      <c r="C297" s="145"/>
      <c r="D297" s="145"/>
      <c r="E297" s="148"/>
      <c r="F297" s="147"/>
      <c r="G297" s="144"/>
      <c r="H297" s="144"/>
      <c r="I297" s="144"/>
      <c r="J297" s="145"/>
      <c r="K297" s="145"/>
      <c r="L297" s="148"/>
      <c r="M297" s="149"/>
      <c r="N297" s="144"/>
      <c r="O297" s="144"/>
      <c r="P297" s="144"/>
      <c r="Q297" s="145"/>
      <c r="R297" s="145"/>
      <c r="S297" s="148"/>
      <c r="T297" s="147"/>
      <c r="U297" s="144"/>
      <c r="V297" s="144"/>
    </row>
    <row r="298" spans="1:22" ht="14" x14ac:dyDescent="0.15">
      <c r="A298" s="144"/>
      <c r="B298" s="144"/>
      <c r="C298" s="145"/>
      <c r="D298" s="145"/>
      <c r="E298" s="148"/>
      <c r="F298" s="147"/>
      <c r="G298" s="144"/>
      <c r="H298" s="144"/>
      <c r="I298" s="144"/>
      <c r="J298" s="145"/>
      <c r="K298" s="145"/>
      <c r="L298" s="148"/>
      <c r="M298" s="149"/>
      <c r="N298" s="144"/>
      <c r="O298" s="144"/>
      <c r="P298" s="144"/>
      <c r="Q298" s="145"/>
      <c r="R298" s="145"/>
      <c r="S298" s="148"/>
      <c r="T298" s="147"/>
      <c r="U298" s="144"/>
      <c r="V298" s="144"/>
    </row>
    <row r="299" spans="1:22" ht="14" x14ac:dyDescent="0.15">
      <c r="A299" s="144"/>
      <c r="B299" s="144"/>
      <c r="C299" s="145"/>
      <c r="D299" s="145"/>
      <c r="E299" s="148"/>
      <c r="F299" s="147"/>
      <c r="G299" s="144"/>
      <c r="H299" s="144"/>
      <c r="I299" s="144"/>
      <c r="J299" s="145"/>
      <c r="K299" s="145"/>
      <c r="L299" s="148"/>
      <c r="M299" s="149"/>
      <c r="N299" s="144"/>
      <c r="O299" s="144"/>
      <c r="P299" s="144"/>
      <c r="Q299" s="145"/>
      <c r="R299" s="145"/>
      <c r="S299" s="148"/>
      <c r="T299" s="147"/>
      <c r="U299" s="144"/>
      <c r="V299" s="144"/>
    </row>
    <row r="300" spans="1:22" ht="14" x14ac:dyDescent="0.15">
      <c r="A300" s="144"/>
      <c r="B300" s="144"/>
      <c r="C300" s="145"/>
      <c r="D300" s="145"/>
      <c r="E300" s="148"/>
      <c r="F300" s="147"/>
      <c r="G300" s="144"/>
      <c r="H300" s="144"/>
      <c r="I300" s="144"/>
      <c r="J300" s="145"/>
      <c r="K300" s="145"/>
      <c r="L300" s="148"/>
      <c r="M300" s="149"/>
      <c r="N300" s="144"/>
      <c r="O300" s="144"/>
      <c r="P300" s="144"/>
      <c r="Q300" s="145"/>
      <c r="R300" s="145"/>
      <c r="S300" s="148"/>
      <c r="T300" s="147"/>
      <c r="U300" s="144"/>
      <c r="V300" s="144"/>
    </row>
    <row r="301" spans="1:22" ht="14" x14ac:dyDescent="0.15">
      <c r="A301" s="144"/>
      <c r="B301" s="144"/>
      <c r="C301" s="145"/>
      <c r="D301" s="145"/>
      <c r="E301" s="148"/>
      <c r="F301" s="147"/>
      <c r="G301" s="144"/>
      <c r="H301" s="144"/>
      <c r="I301" s="144"/>
      <c r="J301" s="145"/>
      <c r="K301" s="145"/>
      <c r="L301" s="148"/>
      <c r="M301" s="149"/>
      <c r="N301" s="144"/>
      <c r="O301" s="144"/>
      <c r="P301" s="144"/>
      <c r="Q301" s="145"/>
      <c r="R301" s="145"/>
      <c r="S301" s="148"/>
      <c r="T301" s="147"/>
      <c r="U301" s="144"/>
      <c r="V301" s="144"/>
    </row>
    <row r="302" spans="1:22" ht="14" x14ac:dyDescent="0.15">
      <c r="A302" s="144"/>
      <c r="B302" s="144"/>
      <c r="C302" s="145"/>
      <c r="D302" s="145"/>
      <c r="E302" s="148"/>
      <c r="F302" s="147"/>
      <c r="G302" s="144"/>
      <c r="H302" s="144"/>
      <c r="I302" s="144"/>
      <c r="J302" s="145"/>
      <c r="K302" s="145"/>
      <c r="L302" s="148"/>
      <c r="M302" s="149"/>
      <c r="N302" s="144"/>
      <c r="O302" s="144"/>
      <c r="P302" s="144"/>
      <c r="Q302" s="145"/>
      <c r="R302" s="145"/>
      <c r="S302" s="148"/>
      <c r="T302" s="147"/>
      <c r="U302" s="144"/>
      <c r="V302" s="144"/>
    </row>
    <row r="303" spans="1:22" ht="14" x14ac:dyDescent="0.15">
      <c r="A303" s="144"/>
      <c r="B303" s="144"/>
      <c r="C303" s="145"/>
      <c r="D303" s="145"/>
      <c r="E303" s="148"/>
      <c r="F303" s="147"/>
      <c r="G303" s="144"/>
      <c r="H303" s="144"/>
      <c r="I303" s="144"/>
      <c r="J303" s="145"/>
      <c r="K303" s="145"/>
      <c r="L303" s="148"/>
      <c r="M303" s="149"/>
      <c r="N303" s="144"/>
      <c r="O303" s="144"/>
      <c r="P303" s="144"/>
      <c r="Q303" s="145"/>
      <c r="R303" s="145"/>
      <c r="S303" s="148"/>
      <c r="T303" s="147"/>
      <c r="U303" s="144"/>
      <c r="V303" s="144"/>
    </row>
    <row r="304" spans="1:22" ht="14" x14ac:dyDescent="0.15">
      <c r="A304" s="144"/>
      <c r="B304" s="144"/>
      <c r="C304" s="145"/>
      <c r="D304" s="145"/>
      <c r="E304" s="148"/>
      <c r="F304" s="147"/>
      <c r="G304" s="144"/>
      <c r="H304" s="144"/>
      <c r="I304" s="144"/>
      <c r="J304" s="145"/>
      <c r="K304" s="145"/>
      <c r="L304" s="148"/>
      <c r="M304" s="149"/>
      <c r="N304" s="144"/>
      <c r="O304" s="144"/>
      <c r="P304" s="144"/>
      <c r="Q304" s="145"/>
      <c r="R304" s="145"/>
      <c r="S304" s="148"/>
      <c r="T304" s="147"/>
      <c r="U304" s="144"/>
      <c r="V304" s="144"/>
    </row>
    <row r="305" spans="1:22" ht="14" x14ac:dyDescent="0.15">
      <c r="A305" s="144"/>
      <c r="B305" s="144"/>
      <c r="C305" s="145"/>
      <c r="D305" s="145"/>
      <c r="E305" s="148"/>
      <c r="F305" s="147"/>
      <c r="G305" s="144"/>
      <c r="H305" s="144"/>
      <c r="I305" s="144"/>
      <c r="J305" s="145"/>
      <c r="K305" s="145"/>
      <c r="L305" s="148"/>
      <c r="M305" s="149"/>
      <c r="N305" s="144"/>
      <c r="O305" s="144"/>
      <c r="P305" s="144"/>
      <c r="Q305" s="145"/>
      <c r="R305" s="145"/>
      <c r="S305" s="148"/>
      <c r="T305" s="147"/>
      <c r="U305" s="144"/>
      <c r="V305" s="144"/>
    </row>
    <row r="306" spans="1:22" ht="14" x14ac:dyDescent="0.15">
      <c r="A306" s="144"/>
      <c r="B306" s="144"/>
      <c r="C306" s="145"/>
      <c r="D306" s="145"/>
      <c r="E306" s="148"/>
      <c r="F306" s="147"/>
      <c r="G306" s="144"/>
      <c r="H306" s="144"/>
      <c r="I306" s="144"/>
      <c r="J306" s="145"/>
      <c r="K306" s="145"/>
      <c r="L306" s="148"/>
      <c r="M306" s="149"/>
      <c r="N306" s="144"/>
      <c r="O306" s="144"/>
      <c r="P306" s="144"/>
      <c r="Q306" s="145"/>
      <c r="R306" s="145"/>
      <c r="S306" s="148"/>
      <c r="T306" s="147"/>
      <c r="U306" s="144"/>
      <c r="V306" s="144"/>
    </row>
    <row r="307" spans="1:22" ht="14" x14ac:dyDescent="0.15">
      <c r="A307" s="144"/>
      <c r="B307" s="144"/>
      <c r="C307" s="145"/>
      <c r="D307" s="145"/>
      <c r="E307" s="148"/>
      <c r="F307" s="147"/>
      <c r="G307" s="144"/>
      <c r="H307" s="144"/>
      <c r="I307" s="144"/>
      <c r="J307" s="145"/>
      <c r="K307" s="145"/>
      <c r="L307" s="148"/>
      <c r="M307" s="149"/>
      <c r="N307" s="144"/>
      <c r="O307" s="144"/>
      <c r="P307" s="144"/>
      <c r="Q307" s="145"/>
      <c r="R307" s="145"/>
      <c r="S307" s="148"/>
      <c r="T307" s="147"/>
      <c r="U307" s="144"/>
      <c r="V307" s="144"/>
    </row>
    <row r="308" spans="1:22" ht="14" x14ac:dyDescent="0.15">
      <c r="A308" s="144"/>
      <c r="B308" s="144"/>
      <c r="C308" s="145"/>
      <c r="D308" s="145"/>
      <c r="E308" s="148"/>
      <c r="F308" s="147"/>
      <c r="G308" s="144"/>
      <c r="H308" s="144"/>
      <c r="I308" s="144"/>
      <c r="J308" s="145"/>
      <c r="K308" s="145"/>
      <c r="L308" s="148"/>
      <c r="M308" s="149"/>
      <c r="N308" s="144"/>
      <c r="O308" s="144"/>
      <c r="P308" s="144"/>
      <c r="Q308" s="145"/>
      <c r="R308" s="145"/>
      <c r="S308" s="148"/>
      <c r="T308" s="147"/>
      <c r="U308" s="144"/>
      <c r="V308" s="144"/>
    </row>
    <row r="309" spans="1:22" ht="14" x14ac:dyDescent="0.15">
      <c r="A309" s="144"/>
      <c r="B309" s="144"/>
      <c r="C309" s="145"/>
      <c r="D309" s="145"/>
      <c r="E309" s="148"/>
      <c r="F309" s="147"/>
      <c r="G309" s="144"/>
      <c r="H309" s="144"/>
      <c r="I309" s="144"/>
      <c r="J309" s="145"/>
      <c r="K309" s="145"/>
      <c r="L309" s="148"/>
      <c r="M309" s="149"/>
      <c r="N309" s="144"/>
      <c r="O309" s="144"/>
      <c r="P309" s="144"/>
      <c r="Q309" s="145"/>
      <c r="R309" s="145"/>
      <c r="S309" s="148"/>
      <c r="T309" s="147"/>
      <c r="U309" s="144"/>
      <c r="V309" s="144"/>
    </row>
    <row r="310" spans="1:22" ht="14" x14ac:dyDescent="0.15">
      <c r="A310" s="144"/>
      <c r="B310" s="144"/>
      <c r="C310" s="145"/>
      <c r="D310" s="145"/>
      <c r="E310" s="148"/>
      <c r="F310" s="147"/>
      <c r="G310" s="144"/>
      <c r="H310" s="144"/>
      <c r="I310" s="144"/>
      <c r="J310" s="145"/>
      <c r="K310" s="145"/>
      <c r="L310" s="148"/>
      <c r="M310" s="149"/>
      <c r="N310" s="144"/>
      <c r="O310" s="144"/>
      <c r="P310" s="144"/>
      <c r="Q310" s="145"/>
      <c r="R310" s="145"/>
      <c r="S310" s="148"/>
      <c r="T310" s="147"/>
      <c r="U310" s="144"/>
      <c r="V310" s="144"/>
    </row>
    <row r="311" spans="1:22" ht="14" x14ac:dyDescent="0.15">
      <c r="A311" s="144"/>
      <c r="B311" s="144"/>
      <c r="C311" s="145"/>
      <c r="D311" s="145"/>
      <c r="E311" s="148"/>
      <c r="F311" s="147"/>
      <c r="G311" s="144"/>
      <c r="H311" s="144"/>
      <c r="I311" s="144"/>
      <c r="J311" s="145"/>
      <c r="K311" s="145"/>
      <c r="L311" s="148"/>
      <c r="M311" s="149"/>
      <c r="N311" s="144"/>
      <c r="O311" s="144"/>
      <c r="P311" s="144"/>
      <c r="Q311" s="145"/>
      <c r="R311" s="145"/>
      <c r="S311" s="148"/>
      <c r="T311" s="147"/>
      <c r="U311" s="144"/>
      <c r="V311" s="144"/>
    </row>
    <row r="312" spans="1:22" ht="14" x14ac:dyDescent="0.15">
      <c r="A312" s="144"/>
      <c r="B312" s="144"/>
      <c r="C312" s="145"/>
      <c r="D312" s="145"/>
      <c r="E312" s="148"/>
      <c r="F312" s="147"/>
      <c r="G312" s="144"/>
      <c r="H312" s="144"/>
      <c r="I312" s="144"/>
      <c r="J312" s="145"/>
      <c r="K312" s="145"/>
      <c r="L312" s="148"/>
      <c r="M312" s="149"/>
      <c r="N312" s="144"/>
      <c r="O312" s="144"/>
      <c r="P312" s="144"/>
      <c r="Q312" s="145"/>
      <c r="R312" s="145"/>
      <c r="S312" s="148"/>
      <c r="T312" s="147"/>
      <c r="U312" s="144"/>
      <c r="V312" s="144"/>
    </row>
    <row r="313" spans="1:22" ht="14" x14ac:dyDescent="0.15">
      <c r="A313" s="144"/>
      <c r="B313" s="144"/>
      <c r="C313" s="145"/>
      <c r="D313" s="145"/>
      <c r="E313" s="148"/>
      <c r="F313" s="147"/>
      <c r="G313" s="144"/>
      <c r="H313" s="144"/>
      <c r="I313" s="144"/>
      <c r="J313" s="145"/>
      <c r="K313" s="145"/>
      <c r="L313" s="148"/>
      <c r="M313" s="149"/>
      <c r="N313" s="144"/>
      <c r="O313" s="144"/>
      <c r="P313" s="144"/>
      <c r="Q313" s="145"/>
      <c r="R313" s="145"/>
      <c r="S313" s="148"/>
      <c r="T313" s="147"/>
      <c r="U313" s="144"/>
      <c r="V313" s="144"/>
    </row>
    <row r="314" spans="1:22" ht="14" x14ac:dyDescent="0.15">
      <c r="A314" s="144"/>
      <c r="B314" s="144"/>
      <c r="C314" s="145"/>
      <c r="D314" s="145"/>
      <c r="E314" s="148"/>
      <c r="F314" s="147"/>
      <c r="G314" s="144"/>
      <c r="H314" s="144"/>
      <c r="I314" s="144"/>
      <c r="J314" s="145"/>
      <c r="K314" s="145"/>
      <c r="L314" s="148"/>
      <c r="M314" s="149"/>
      <c r="N314" s="144"/>
      <c r="O314" s="144"/>
      <c r="P314" s="144"/>
      <c r="Q314" s="145"/>
      <c r="R314" s="145"/>
      <c r="S314" s="148"/>
      <c r="T314" s="147"/>
      <c r="U314" s="144"/>
      <c r="V314" s="144"/>
    </row>
    <row r="315" spans="1:22" ht="14" x14ac:dyDescent="0.15">
      <c r="A315" s="144"/>
      <c r="B315" s="144"/>
      <c r="C315" s="145"/>
      <c r="D315" s="145"/>
      <c r="E315" s="148"/>
      <c r="F315" s="147"/>
      <c r="G315" s="144"/>
      <c r="H315" s="144"/>
      <c r="I315" s="144"/>
      <c r="J315" s="145"/>
      <c r="K315" s="145"/>
      <c r="L315" s="148"/>
      <c r="M315" s="149"/>
      <c r="N315" s="144"/>
      <c r="O315" s="144"/>
      <c r="P315" s="144"/>
      <c r="Q315" s="145"/>
      <c r="R315" s="145"/>
      <c r="S315" s="148"/>
      <c r="T315" s="147"/>
      <c r="U315" s="144"/>
      <c r="V315" s="144"/>
    </row>
    <row r="316" spans="1:22" ht="14" x14ac:dyDescent="0.15">
      <c r="A316" s="144"/>
      <c r="B316" s="144"/>
      <c r="C316" s="145"/>
      <c r="D316" s="145"/>
      <c r="E316" s="148"/>
      <c r="F316" s="147"/>
      <c r="G316" s="144"/>
      <c r="H316" s="144"/>
      <c r="I316" s="144"/>
      <c r="J316" s="145"/>
      <c r="K316" s="145"/>
      <c r="L316" s="148"/>
      <c r="M316" s="149"/>
      <c r="N316" s="144"/>
      <c r="O316" s="144"/>
      <c r="P316" s="144"/>
      <c r="Q316" s="145"/>
      <c r="R316" s="145"/>
      <c r="S316" s="148"/>
      <c r="T316" s="147"/>
      <c r="U316" s="144"/>
      <c r="V316" s="144"/>
    </row>
    <row r="317" spans="1:22" ht="14" x14ac:dyDescent="0.15">
      <c r="A317" s="144"/>
      <c r="B317" s="144"/>
      <c r="C317" s="145"/>
      <c r="D317" s="145"/>
      <c r="E317" s="148"/>
      <c r="F317" s="147"/>
      <c r="G317" s="144"/>
      <c r="H317" s="144"/>
      <c r="I317" s="144"/>
      <c r="J317" s="145"/>
      <c r="K317" s="145"/>
      <c r="L317" s="148"/>
      <c r="M317" s="149"/>
      <c r="N317" s="144"/>
      <c r="O317" s="144"/>
      <c r="P317" s="144"/>
      <c r="Q317" s="145"/>
      <c r="R317" s="145"/>
      <c r="S317" s="148"/>
      <c r="T317" s="147"/>
      <c r="U317" s="144"/>
      <c r="V317" s="144"/>
    </row>
    <row r="318" spans="1:22" ht="14" x14ac:dyDescent="0.15">
      <c r="A318" s="144"/>
      <c r="B318" s="144"/>
      <c r="C318" s="145"/>
      <c r="D318" s="145"/>
      <c r="E318" s="148"/>
      <c r="F318" s="147"/>
      <c r="G318" s="144"/>
      <c r="H318" s="144"/>
      <c r="I318" s="144"/>
      <c r="J318" s="145"/>
      <c r="K318" s="145"/>
      <c r="L318" s="148"/>
      <c r="M318" s="149"/>
      <c r="N318" s="144"/>
      <c r="O318" s="144"/>
      <c r="P318" s="144"/>
      <c r="Q318" s="145"/>
      <c r="R318" s="145"/>
      <c r="S318" s="148"/>
      <c r="T318" s="147"/>
      <c r="U318" s="144"/>
      <c r="V318" s="144"/>
    </row>
    <row r="319" spans="1:22" ht="14" x14ac:dyDescent="0.15">
      <c r="A319" s="144"/>
      <c r="B319" s="144"/>
      <c r="C319" s="145"/>
      <c r="D319" s="145"/>
      <c r="E319" s="148"/>
      <c r="F319" s="147"/>
      <c r="G319" s="144"/>
      <c r="H319" s="144"/>
      <c r="I319" s="144"/>
      <c r="J319" s="145"/>
      <c r="K319" s="145"/>
      <c r="L319" s="148"/>
      <c r="M319" s="149"/>
      <c r="N319" s="144"/>
      <c r="O319" s="144"/>
      <c r="P319" s="144"/>
      <c r="Q319" s="145"/>
      <c r="R319" s="145"/>
      <c r="S319" s="148"/>
      <c r="T319" s="147"/>
      <c r="U319" s="144"/>
      <c r="V319" s="144"/>
    </row>
    <row r="320" spans="1:22" ht="14" x14ac:dyDescent="0.15">
      <c r="A320" s="144"/>
      <c r="B320" s="144"/>
      <c r="C320" s="145"/>
      <c r="D320" s="145"/>
      <c r="E320" s="148"/>
      <c r="F320" s="147"/>
      <c r="G320" s="144"/>
      <c r="H320" s="144"/>
      <c r="I320" s="144"/>
      <c r="J320" s="145"/>
      <c r="K320" s="145"/>
      <c r="L320" s="148"/>
      <c r="M320" s="149"/>
      <c r="N320" s="144"/>
      <c r="O320" s="144"/>
      <c r="P320" s="144"/>
      <c r="Q320" s="145"/>
      <c r="R320" s="145"/>
      <c r="S320" s="148"/>
      <c r="T320" s="147"/>
      <c r="U320" s="144"/>
      <c r="V320" s="144"/>
    </row>
    <row r="321" spans="1:22" ht="14" x14ac:dyDescent="0.15">
      <c r="A321" s="144"/>
      <c r="B321" s="144"/>
      <c r="C321" s="145"/>
      <c r="D321" s="145"/>
      <c r="E321" s="148"/>
      <c r="F321" s="147"/>
      <c r="G321" s="144"/>
      <c r="H321" s="144"/>
      <c r="I321" s="144"/>
      <c r="J321" s="145"/>
      <c r="K321" s="145"/>
      <c r="L321" s="148"/>
      <c r="M321" s="149"/>
      <c r="N321" s="144"/>
      <c r="O321" s="144"/>
      <c r="P321" s="144"/>
      <c r="Q321" s="145"/>
      <c r="R321" s="145"/>
      <c r="S321" s="148"/>
      <c r="T321" s="147"/>
      <c r="U321" s="144"/>
      <c r="V321" s="144"/>
    </row>
    <row r="322" spans="1:22" ht="14" x14ac:dyDescent="0.15">
      <c r="A322" s="144"/>
      <c r="B322" s="144"/>
      <c r="C322" s="145"/>
      <c r="D322" s="145"/>
      <c r="E322" s="148"/>
      <c r="F322" s="147"/>
      <c r="G322" s="144"/>
      <c r="H322" s="144"/>
      <c r="I322" s="144"/>
      <c r="J322" s="145"/>
      <c r="K322" s="145"/>
      <c r="L322" s="148"/>
      <c r="M322" s="149"/>
      <c r="N322" s="144"/>
      <c r="O322" s="144"/>
      <c r="P322" s="144"/>
      <c r="Q322" s="145"/>
      <c r="R322" s="145"/>
      <c r="S322" s="148"/>
      <c r="T322" s="147"/>
      <c r="U322" s="144"/>
      <c r="V322" s="144"/>
    </row>
    <row r="323" spans="1:22" ht="14" x14ac:dyDescent="0.15">
      <c r="A323" s="144"/>
      <c r="B323" s="144"/>
      <c r="C323" s="145"/>
      <c r="D323" s="145"/>
      <c r="E323" s="148"/>
      <c r="F323" s="147"/>
      <c r="G323" s="144"/>
      <c r="H323" s="144"/>
      <c r="I323" s="144"/>
      <c r="J323" s="145"/>
      <c r="K323" s="145"/>
      <c r="L323" s="148"/>
      <c r="M323" s="149"/>
      <c r="N323" s="144"/>
      <c r="O323" s="144"/>
      <c r="P323" s="144"/>
      <c r="Q323" s="145"/>
      <c r="R323" s="145"/>
      <c r="S323" s="148"/>
      <c r="T323" s="147"/>
      <c r="U323" s="144"/>
      <c r="V323" s="144"/>
    </row>
    <row r="324" spans="1:22" ht="14" x14ac:dyDescent="0.15">
      <c r="A324" s="144"/>
      <c r="B324" s="144"/>
      <c r="C324" s="145"/>
      <c r="D324" s="145"/>
      <c r="E324" s="148"/>
      <c r="F324" s="147"/>
      <c r="G324" s="144"/>
      <c r="H324" s="144"/>
      <c r="I324" s="144"/>
      <c r="J324" s="145"/>
      <c r="K324" s="145"/>
      <c r="L324" s="148"/>
      <c r="M324" s="149"/>
      <c r="N324" s="144"/>
      <c r="O324" s="144"/>
      <c r="P324" s="144"/>
      <c r="Q324" s="145"/>
      <c r="R324" s="145"/>
      <c r="S324" s="148"/>
      <c r="T324" s="147"/>
      <c r="U324" s="144"/>
      <c r="V324" s="144"/>
    </row>
    <row r="325" spans="1:22" ht="14" x14ac:dyDescent="0.15">
      <c r="A325" s="144"/>
      <c r="B325" s="144"/>
      <c r="C325" s="145"/>
      <c r="D325" s="145"/>
      <c r="E325" s="148"/>
      <c r="F325" s="147"/>
      <c r="G325" s="144"/>
      <c r="H325" s="144"/>
      <c r="I325" s="144"/>
      <c r="J325" s="145"/>
      <c r="K325" s="145"/>
      <c r="L325" s="148"/>
      <c r="M325" s="149"/>
      <c r="N325" s="144"/>
      <c r="O325" s="144"/>
      <c r="P325" s="144"/>
      <c r="Q325" s="145"/>
      <c r="R325" s="145"/>
      <c r="S325" s="148"/>
      <c r="T325" s="147"/>
      <c r="U325" s="144"/>
      <c r="V325" s="144"/>
    </row>
    <row r="326" spans="1:22" ht="14" x14ac:dyDescent="0.15">
      <c r="A326" s="144"/>
      <c r="B326" s="144"/>
      <c r="C326" s="145"/>
      <c r="D326" s="145"/>
      <c r="E326" s="148"/>
      <c r="F326" s="147"/>
      <c r="G326" s="144"/>
      <c r="H326" s="144"/>
      <c r="I326" s="144"/>
      <c r="J326" s="145"/>
      <c r="K326" s="145"/>
      <c r="L326" s="148"/>
      <c r="M326" s="149"/>
      <c r="N326" s="144"/>
      <c r="O326" s="144"/>
      <c r="P326" s="144"/>
      <c r="Q326" s="145"/>
      <c r="R326" s="145"/>
      <c r="S326" s="148"/>
      <c r="T326" s="147"/>
      <c r="U326" s="144"/>
      <c r="V326" s="144"/>
    </row>
    <row r="327" spans="1:22" ht="14" x14ac:dyDescent="0.15">
      <c r="A327" s="144"/>
      <c r="B327" s="144"/>
      <c r="C327" s="145"/>
      <c r="D327" s="145"/>
      <c r="E327" s="148"/>
      <c r="F327" s="147"/>
      <c r="G327" s="144"/>
      <c r="H327" s="144"/>
      <c r="I327" s="144"/>
      <c r="J327" s="145"/>
      <c r="K327" s="145"/>
      <c r="L327" s="148"/>
      <c r="M327" s="149"/>
      <c r="N327" s="144"/>
      <c r="O327" s="144"/>
      <c r="P327" s="144"/>
      <c r="Q327" s="145"/>
      <c r="R327" s="145"/>
      <c r="S327" s="148"/>
      <c r="T327" s="147"/>
      <c r="U327" s="144"/>
      <c r="V327" s="144"/>
    </row>
    <row r="328" spans="1:22" ht="14" x14ac:dyDescent="0.15">
      <c r="A328" s="144"/>
      <c r="B328" s="144"/>
      <c r="C328" s="145"/>
      <c r="D328" s="145"/>
      <c r="E328" s="148"/>
      <c r="F328" s="147"/>
      <c r="G328" s="144"/>
      <c r="H328" s="144"/>
      <c r="I328" s="144"/>
      <c r="J328" s="145"/>
      <c r="K328" s="145"/>
      <c r="L328" s="148"/>
      <c r="M328" s="149"/>
      <c r="N328" s="144"/>
      <c r="O328" s="144"/>
      <c r="P328" s="144"/>
      <c r="Q328" s="145"/>
      <c r="R328" s="145"/>
      <c r="S328" s="148"/>
      <c r="T328" s="147"/>
      <c r="U328" s="144"/>
      <c r="V328" s="144"/>
    </row>
    <row r="329" spans="1:22" ht="14" x14ac:dyDescent="0.15">
      <c r="A329" s="144"/>
      <c r="B329" s="144"/>
      <c r="C329" s="145"/>
      <c r="D329" s="145"/>
      <c r="E329" s="148"/>
      <c r="F329" s="147"/>
      <c r="G329" s="144"/>
      <c r="H329" s="144"/>
      <c r="I329" s="144"/>
      <c r="J329" s="145"/>
      <c r="K329" s="145"/>
      <c r="L329" s="148"/>
      <c r="M329" s="149"/>
      <c r="N329" s="144"/>
      <c r="O329" s="144"/>
      <c r="P329" s="144"/>
      <c r="Q329" s="145"/>
      <c r="R329" s="145"/>
      <c r="S329" s="148"/>
      <c r="T329" s="147"/>
      <c r="U329" s="144"/>
      <c r="V329" s="144"/>
    </row>
    <row r="330" spans="1:22" ht="14" x14ac:dyDescent="0.15">
      <c r="A330" s="144"/>
      <c r="B330" s="144"/>
      <c r="C330" s="145"/>
      <c r="D330" s="145"/>
      <c r="E330" s="148"/>
      <c r="F330" s="147"/>
      <c r="G330" s="144"/>
      <c r="H330" s="144"/>
      <c r="I330" s="144"/>
      <c r="J330" s="145"/>
      <c r="K330" s="145"/>
      <c r="L330" s="148"/>
      <c r="M330" s="149"/>
      <c r="N330" s="144"/>
      <c r="O330" s="144"/>
      <c r="P330" s="144"/>
      <c r="Q330" s="145"/>
      <c r="R330" s="145"/>
      <c r="S330" s="148"/>
      <c r="T330" s="147"/>
      <c r="U330" s="144"/>
      <c r="V330" s="144"/>
    </row>
    <row r="331" spans="1:22" ht="14" x14ac:dyDescent="0.15">
      <c r="A331" s="144"/>
      <c r="B331" s="144"/>
      <c r="C331" s="145"/>
      <c r="D331" s="145"/>
      <c r="E331" s="148"/>
      <c r="F331" s="147"/>
      <c r="G331" s="144"/>
      <c r="H331" s="144"/>
      <c r="I331" s="144"/>
      <c r="J331" s="145"/>
      <c r="K331" s="145"/>
      <c r="L331" s="148"/>
      <c r="M331" s="149"/>
      <c r="N331" s="144"/>
      <c r="O331" s="144"/>
      <c r="P331" s="144"/>
      <c r="Q331" s="145"/>
      <c r="R331" s="145"/>
      <c r="S331" s="148"/>
      <c r="T331" s="147"/>
      <c r="U331" s="144"/>
      <c r="V331" s="144"/>
    </row>
    <row r="332" spans="1:22" ht="14" x14ac:dyDescent="0.15">
      <c r="A332" s="144"/>
      <c r="B332" s="144"/>
      <c r="C332" s="145"/>
      <c r="D332" s="145"/>
      <c r="E332" s="148"/>
      <c r="F332" s="147"/>
      <c r="G332" s="144"/>
      <c r="H332" s="144"/>
      <c r="I332" s="144"/>
      <c r="J332" s="145"/>
      <c r="K332" s="145"/>
      <c r="L332" s="148"/>
      <c r="M332" s="149"/>
      <c r="N332" s="144"/>
      <c r="O332" s="144"/>
      <c r="P332" s="144"/>
      <c r="Q332" s="145"/>
      <c r="R332" s="145"/>
      <c r="S332" s="148"/>
      <c r="T332" s="147"/>
      <c r="U332" s="144"/>
      <c r="V332" s="144"/>
    </row>
    <row r="333" spans="1:22" ht="14" x14ac:dyDescent="0.15">
      <c r="A333" s="144"/>
      <c r="B333" s="144"/>
      <c r="C333" s="145"/>
      <c r="D333" s="145"/>
      <c r="E333" s="148"/>
      <c r="F333" s="147"/>
      <c r="G333" s="144"/>
      <c r="H333" s="144"/>
      <c r="I333" s="144"/>
      <c r="J333" s="145"/>
      <c r="K333" s="145"/>
      <c r="L333" s="148"/>
      <c r="M333" s="149"/>
      <c r="N333" s="144"/>
      <c r="O333" s="144"/>
      <c r="P333" s="144"/>
      <c r="Q333" s="145"/>
      <c r="R333" s="145"/>
      <c r="S333" s="148"/>
      <c r="T333" s="147"/>
      <c r="U333" s="144"/>
      <c r="V333" s="144"/>
    </row>
    <row r="334" spans="1:22" ht="14" x14ac:dyDescent="0.15">
      <c r="A334" s="144"/>
      <c r="B334" s="144"/>
      <c r="C334" s="145"/>
      <c r="D334" s="145"/>
      <c r="E334" s="148"/>
      <c r="F334" s="147"/>
      <c r="G334" s="144"/>
      <c r="H334" s="144"/>
      <c r="I334" s="144"/>
      <c r="J334" s="145"/>
      <c r="K334" s="145"/>
      <c r="L334" s="148"/>
      <c r="M334" s="149"/>
      <c r="N334" s="144"/>
      <c r="O334" s="144"/>
      <c r="P334" s="144"/>
      <c r="Q334" s="145"/>
      <c r="R334" s="145"/>
      <c r="S334" s="148"/>
      <c r="T334" s="147"/>
      <c r="U334" s="144"/>
      <c r="V334" s="144"/>
    </row>
    <row r="335" spans="1:22" ht="14" x14ac:dyDescent="0.15">
      <c r="A335" s="144"/>
      <c r="B335" s="144"/>
      <c r="C335" s="145"/>
      <c r="D335" s="145"/>
      <c r="E335" s="148"/>
      <c r="F335" s="147"/>
      <c r="G335" s="144"/>
      <c r="H335" s="144"/>
      <c r="I335" s="144"/>
      <c r="J335" s="145"/>
      <c r="K335" s="145"/>
      <c r="L335" s="148"/>
      <c r="M335" s="149"/>
      <c r="N335" s="144"/>
      <c r="O335" s="144"/>
      <c r="P335" s="144"/>
      <c r="Q335" s="145"/>
      <c r="R335" s="145"/>
      <c r="S335" s="148"/>
      <c r="T335" s="147"/>
      <c r="U335" s="144"/>
      <c r="V335" s="144"/>
    </row>
    <row r="336" spans="1:22" ht="14" x14ac:dyDescent="0.15">
      <c r="A336" s="144"/>
      <c r="B336" s="144"/>
      <c r="C336" s="145"/>
      <c r="D336" s="145"/>
      <c r="E336" s="148"/>
      <c r="F336" s="147"/>
      <c r="G336" s="144"/>
      <c r="H336" s="144"/>
      <c r="I336" s="144"/>
      <c r="J336" s="145"/>
      <c r="K336" s="145"/>
      <c r="L336" s="148"/>
      <c r="M336" s="149"/>
      <c r="N336" s="144"/>
      <c r="O336" s="144"/>
      <c r="P336" s="144"/>
      <c r="Q336" s="145"/>
      <c r="R336" s="145"/>
      <c r="S336" s="148"/>
      <c r="T336" s="147"/>
      <c r="U336" s="144"/>
      <c r="V336" s="144"/>
    </row>
    <row r="337" spans="1:22" ht="14" x14ac:dyDescent="0.15">
      <c r="A337" s="144"/>
      <c r="B337" s="144"/>
      <c r="C337" s="145"/>
      <c r="D337" s="145"/>
      <c r="E337" s="148"/>
      <c r="F337" s="147"/>
      <c r="G337" s="144"/>
      <c r="H337" s="144"/>
      <c r="I337" s="144"/>
      <c r="J337" s="145"/>
      <c r="K337" s="145"/>
      <c r="L337" s="148"/>
      <c r="M337" s="149"/>
      <c r="N337" s="144"/>
      <c r="O337" s="144"/>
      <c r="P337" s="144"/>
      <c r="Q337" s="145"/>
      <c r="R337" s="145"/>
      <c r="S337" s="148"/>
      <c r="T337" s="147"/>
      <c r="U337" s="144"/>
      <c r="V337" s="144"/>
    </row>
    <row r="338" spans="1:22" ht="14" x14ac:dyDescent="0.15">
      <c r="A338" s="144"/>
      <c r="B338" s="144"/>
      <c r="C338" s="145"/>
      <c r="D338" s="145"/>
      <c r="E338" s="148"/>
      <c r="F338" s="147"/>
      <c r="G338" s="144"/>
      <c r="H338" s="144"/>
      <c r="I338" s="144"/>
      <c r="J338" s="145"/>
      <c r="K338" s="145"/>
      <c r="L338" s="148"/>
      <c r="M338" s="149"/>
      <c r="N338" s="144"/>
      <c r="O338" s="144"/>
      <c r="P338" s="144"/>
      <c r="Q338" s="145"/>
      <c r="R338" s="145"/>
      <c r="S338" s="148"/>
      <c r="T338" s="147"/>
      <c r="U338" s="144"/>
      <c r="V338" s="144"/>
    </row>
    <row r="339" spans="1:22" ht="14" x14ac:dyDescent="0.15">
      <c r="A339" s="144"/>
      <c r="B339" s="144"/>
      <c r="C339" s="145"/>
      <c r="D339" s="145"/>
      <c r="E339" s="148"/>
      <c r="F339" s="147"/>
      <c r="G339" s="144"/>
      <c r="H339" s="144"/>
      <c r="I339" s="144"/>
      <c r="J339" s="145"/>
      <c r="K339" s="145"/>
      <c r="L339" s="148"/>
      <c r="M339" s="149"/>
      <c r="N339" s="144"/>
      <c r="O339" s="144"/>
      <c r="P339" s="144"/>
      <c r="Q339" s="145"/>
      <c r="R339" s="145"/>
      <c r="S339" s="148"/>
      <c r="T339" s="147"/>
      <c r="U339" s="144"/>
      <c r="V339" s="144"/>
    </row>
    <row r="340" spans="1:22" ht="14" x14ac:dyDescent="0.15">
      <c r="A340" s="144"/>
      <c r="B340" s="144"/>
      <c r="C340" s="145"/>
      <c r="D340" s="145"/>
      <c r="E340" s="148"/>
      <c r="F340" s="147"/>
      <c r="G340" s="144"/>
      <c r="H340" s="144"/>
      <c r="I340" s="144"/>
      <c r="J340" s="145"/>
      <c r="K340" s="145"/>
      <c r="L340" s="148"/>
      <c r="M340" s="149"/>
      <c r="N340" s="144"/>
      <c r="O340" s="144"/>
      <c r="P340" s="144"/>
      <c r="Q340" s="145"/>
      <c r="R340" s="145"/>
      <c r="S340" s="148"/>
      <c r="T340" s="147"/>
      <c r="U340" s="144"/>
      <c r="V340" s="144"/>
    </row>
    <row r="341" spans="1:22" ht="14" x14ac:dyDescent="0.15">
      <c r="A341" s="144"/>
      <c r="B341" s="144"/>
      <c r="C341" s="145"/>
      <c r="D341" s="145"/>
      <c r="E341" s="148"/>
      <c r="F341" s="147"/>
      <c r="G341" s="144"/>
      <c r="H341" s="144"/>
      <c r="I341" s="144"/>
      <c r="J341" s="145"/>
      <c r="K341" s="145"/>
      <c r="L341" s="148"/>
      <c r="M341" s="149"/>
      <c r="N341" s="144"/>
      <c r="O341" s="144"/>
      <c r="P341" s="144"/>
      <c r="Q341" s="145"/>
      <c r="R341" s="145"/>
      <c r="S341" s="148"/>
      <c r="T341" s="147"/>
      <c r="U341" s="144"/>
      <c r="V341" s="144"/>
    </row>
    <row r="342" spans="1:22" ht="14" x14ac:dyDescent="0.15">
      <c r="A342" s="144"/>
      <c r="B342" s="144"/>
      <c r="C342" s="145"/>
      <c r="D342" s="145"/>
      <c r="E342" s="148"/>
      <c r="F342" s="147"/>
      <c r="G342" s="144"/>
      <c r="H342" s="144"/>
      <c r="I342" s="144"/>
      <c r="J342" s="145"/>
      <c r="K342" s="145"/>
      <c r="L342" s="148"/>
      <c r="M342" s="149"/>
      <c r="N342" s="144"/>
      <c r="O342" s="144"/>
      <c r="P342" s="144"/>
      <c r="Q342" s="145"/>
      <c r="R342" s="145"/>
      <c r="S342" s="148"/>
      <c r="T342" s="147"/>
      <c r="U342" s="144"/>
      <c r="V342" s="144"/>
    </row>
    <row r="343" spans="1:22" ht="14" x14ac:dyDescent="0.15">
      <c r="A343" s="144"/>
      <c r="B343" s="144"/>
      <c r="C343" s="145"/>
      <c r="D343" s="145"/>
      <c r="E343" s="148"/>
      <c r="F343" s="147"/>
      <c r="G343" s="144"/>
      <c r="H343" s="144"/>
      <c r="I343" s="144"/>
      <c r="J343" s="145"/>
      <c r="K343" s="145"/>
      <c r="L343" s="148"/>
      <c r="M343" s="149"/>
      <c r="N343" s="144"/>
      <c r="O343" s="144"/>
      <c r="P343" s="144"/>
      <c r="Q343" s="145"/>
      <c r="R343" s="145"/>
      <c r="S343" s="148"/>
      <c r="T343" s="147"/>
      <c r="U343" s="144"/>
      <c r="V343" s="144"/>
    </row>
    <row r="344" spans="1:22" ht="14" x14ac:dyDescent="0.15">
      <c r="A344" s="144"/>
      <c r="B344" s="144"/>
      <c r="C344" s="145"/>
      <c r="D344" s="145"/>
      <c r="E344" s="148"/>
      <c r="F344" s="147"/>
      <c r="G344" s="144"/>
      <c r="H344" s="144"/>
      <c r="I344" s="144"/>
      <c r="J344" s="145"/>
      <c r="K344" s="145"/>
      <c r="L344" s="148"/>
      <c r="M344" s="149"/>
      <c r="N344" s="144"/>
      <c r="O344" s="144"/>
      <c r="P344" s="144"/>
      <c r="Q344" s="145"/>
      <c r="R344" s="145"/>
      <c r="S344" s="148"/>
      <c r="T344" s="147"/>
      <c r="U344" s="144"/>
      <c r="V344" s="144"/>
    </row>
    <row r="345" spans="1:22" ht="14" x14ac:dyDescent="0.15">
      <c r="A345" s="144"/>
      <c r="B345" s="144"/>
      <c r="C345" s="145"/>
      <c r="D345" s="145"/>
      <c r="E345" s="148"/>
      <c r="F345" s="147"/>
      <c r="G345" s="144"/>
      <c r="H345" s="144"/>
      <c r="I345" s="144"/>
      <c r="J345" s="145"/>
      <c r="K345" s="145"/>
      <c r="L345" s="148"/>
      <c r="M345" s="149"/>
      <c r="N345" s="144"/>
      <c r="O345" s="144"/>
      <c r="P345" s="144"/>
      <c r="Q345" s="145"/>
      <c r="R345" s="145"/>
      <c r="S345" s="148"/>
      <c r="T345" s="147"/>
      <c r="U345" s="144"/>
      <c r="V345" s="144"/>
    </row>
    <row r="346" spans="1:22" ht="14" x14ac:dyDescent="0.15">
      <c r="A346" s="144"/>
      <c r="B346" s="144"/>
      <c r="C346" s="145"/>
      <c r="D346" s="145"/>
      <c r="E346" s="148"/>
      <c r="F346" s="147"/>
      <c r="G346" s="144"/>
      <c r="H346" s="144"/>
      <c r="I346" s="144"/>
      <c r="J346" s="145"/>
      <c r="K346" s="145"/>
      <c r="L346" s="148"/>
      <c r="M346" s="149"/>
      <c r="N346" s="144"/>
      <c r="O346" s="144"/>
      <c r="P346" s="144"/>
      <c r="Q346" s="145"/>
      <c r="R346" s="145"/>
      <c r="S346" s="148"/>
      <c r="T346" s="147"/>
      <c r="U346" s="144"/>
      <c r="V346" s="144"/>
    </row>
    <row r="347" spans="1:22" ht="14" x14ac:dyDescent="0.15">
      <c r="A347" s="144"/>
      <c r="B347" s="144"/>
      <c r="C347" s="145"/>
      <c r="D347" s="145"/>
      <c r="E347" s="148"/>
      <c r="F347" s="147"/>
      <c r="G347" s="144"/>
      <c r="H347" s="144"/>
      <c r="I347" s="144"/>
      <c r="J347" s="145"/>
      <c r="K347" s="145"/>
      <c r="L347" s="148"/>
      <c r="M347" s="149"/>
      <c r="N347" s="144"/>
      <c r="O347" s="144"/>
      <c r="P347" s="144"/>
      <c r="Q347" s="145"/>
      <c r="R347" s="145"/>
      <c r="S347" s="148"/>
      <c r="T347" s="147"/>
      <c r="U347" s="144"/>
      <c r="V347" s="144"/>
    </row>
    <row r="348" spans="1:22" ht="14" x14ac:dyDescent="0.15">
      <c r="A348" s="144"/>
      <c r="B348" s="144"/>
      <c r="C348" s="145"/>
      <c r="D348" s="145"/>
      <c r="E348" s="148"/>
      <c r="F348" s="147"/>
      <c r="G348" s="144"/>
      <c r="H348" s="144"/>
      <c r="I348" s="144"/>
      <c r="J348" s="145"/>
      <c r="K348" s="145"/>
      <c r="L348" s="148"/>
      <c r="M348" s="149"/>
      <c r="N348" s="144"/>
      <c r="O348" s="144"/>
      <c r="P348" s="144"/>
      <c r="Q348" s="145"/>
      <c r="R348" s="145"/>
      <c r="S348" s="148"/>
      <c r="T348" s="147"/>
      <c r="U348" s="144"/>
      <c r="V348" s="144"/>
    </row>
    <row r="349" spans="1:22" ht="14" x14ac:dyDescent="0.15">
      <c r="A349" s="144"/>
      <c r="B349" s="144"/>
      <c r="C349" s="145"/>
      <c r="D349" s="145"/>
      <c r="E349" s="148"/>
      <c r="F349" s="147"/>
      <c r="G349" s="144"/>
      <c r="H349" s="144"/>
      <c r="I349" s="144"/>
      <c r="J349" s="145"/>
      <c r="K349" s="145"/>
      <c r="L349" s="148"/>
      <c r="M349" s="149"/>
      <c r="N349" s="144"/>
      <c r="O349" s="144"/>
      <c r="P349" s="144"/>
      <c r="Q349" s="145"/>
      <c r="R349" s="145"/>
      <c r="S349" s="148"/>
      <c r="T349" s="147"/>
      <c r="U349" s="144"/>
      <c r="V349" s="144"/>
    </row>
    <row r="350" spans="1:22" ht="14" x14ac:dyDescent="0.15">
      <c r="A350" s="144"/>
      <c r="B350" s="144"/>
      <c r="C350" s="145"/>
      <c r="D350" s="145"/>
      <c r="E350" s="148"/>
      <c r="F350" s="147"/>
      <c r="G350" s="144"/>
      <c r="H350" s="144"/>
      <c r="I350" s="144"/>
      <c r="J350" s="145"/>
      <c r="K350" s="145"/>
      <c r="L350" s="148"/>
      <c r="M350" s="149"/>
      <c r="N350" s="144"/>
      <c r="O350" s="144"/>
      <c r="P350" s="144"/>
      <c r="Q350" s="145"/>
      <c r="R350" s="145"/>
      <c r="S350" s="148"/>
      <c r="T350" s="147"/>
      <c r="U350" s="144"/>
      <c r="V350" s="144"/>
    </row>
    <row r="351" spans="1:22" ht="14" x14ac:dyDescent="0.15">
      <c r="A351" s="144"/>
      <c r="B351" s="144"/>
      <c r="C351" s="145"/>
      <c r="D351" s="145"/>
      <c r="E351" s="148"/>
      <c r="F351" s="147"/>
      <c r="G351" s="144"/>
      <c r="H351" s="144"/>
      <c r="I351" s="144"/>
      <c r="J351" s="145"/>
      <c r="K351" s="145"/>
      <c r="L351" s="148"/>
      <c r="M351" s="149"/>
      <c r="N351" s="144"/>
      <c r="O351" s="144"/>
      <c r="P351" s="144"/>
      <c r="Q351" s="145"/>
      <c r="R351" s="145"/>
      <c r="S351" s="148"/>
      <c r="T351" s="147"/>
      <c r="U351" s="144"/>
      <c r="V351" s="144"/>
    </row>
    <row r="352" spans="1:22" ht="14" x14ac:dyDescent="0.15">
      <c r="A352" s="144"/>
      <c r="B352" s="144"/>
      <c r="C352" s="145"/>
      <c r="D352" s="145"/>
      <c r="E352" s="148"/>
      <c r="F352" s="147"/>
      <c r="G352" s="144"/>
      <c r="H352" s="144"/>
      <c r="I352" s="144"/>
      <c r="J352" s="145"/>
      <c r="K352" s="145"/>
      <c r="L352" s="148"/>
      <c r="M352" s="149"/>
      <c r="N352" s="144"/>
      <c r="O352" s="144"/>
      <c r="P352" s="144"/>
      <c r="Q352" s="145"/>
      <c r="R352" s="145"/>
      <c r="S352" s="148"/>
      <c r="T352" s="147"/>
      <c r="U352" s="144"/>
      <c r="V352" s="144"/>
    </row>
    <row r="353" spans="1:22" ht="14" x14ac:dyDescent="0.15">
      <c r="A353" s="144"/>
      <c r="B353" s="144"/>
      <c r="C353" s="145"/>
      <c r="D353" s="145"/>
      <c r="E353" s="148"/>
      <c r="F353" s="147"/>
      <c r="G353" s="144"/>
      <c r="H353" s="144"/>
      <c r="I353" s="144"/>
      <c r="J353" s="145"/>
      <c r="K353" s="145"/>
      <c r="L353" s="148"/>
      <c r="M353" s="149"/>
      <c r="N353" s="144"/>
      <c r="O353" s="144"/>
      <c r="P353" s="144"/>
      <c r="Q353" s="145"/>
      <c r="R353" s="145"/>
      <c r="S353" s="148"/>
      <c r="T353" s="147"/>
      <c r="U353" s="144"/>
      <c r="V353" s="144"/>
    </row>
    <row r="354" spans="1:22" ht="14" x14ac:dyDescent="0.15">
      <c r="A354" s="144"/>
      <c r="B354" s="144"/>
      <c r="C354" s="145"/>
      <c r="D354" s="145"/>
      <c r="E354" s="148"/>
      <c r="F354" s="147"/>
      <c r="G354" s="144"/>
      <c r="H354" s="144"/>
      <c r="I354" s="144"/>
      <c r="J354" s="145"/>
      <c r="K354" s="145"/>
      <c r="L354" s="148"/>
      <c r="M354" s="149"/>
      <c r="N354" s="144"/>
      <c r="O354" s="144"/>
      <c r="P354" s="144"/>
      <c r="Q354" s="145"/>
      <c r="R354" s="145"/>
      <c r="S354" s="148"/>
      <c r="T354" s="147"/>
      <c r="U354" s="144"/>
      <c r="V354" s="144"/>
    </row>
    <row r="355" spans="1:22" ht="14" x14ac:dyDescent="0.15">
      <c r="A355" s="144"/>
      <c r="B355" s="144"/>
      <c r="C355" s="145"/>
      <c r="D355" s="145"/>
      <c r="E355" s="148"/>
      <c r="F355" s="147"/>
      <c r="G355" s="144"/>
      <c r="H355" s="144"/>
      <c r="I355" s="144"/>
      <c r="J355" s="145"/>
      <c r="K355" s="145"/>
      <c r="L355" s="148"/>
      <c r="M355" s="149"/>
      <c r="N355" s="144"/>
      <c r="O355" s="144"/>
      <c r="P355" s="144"/>
      <c r="Q355" s="145"/>
      <c r="R355" s="145"/>
      <c r="S355" s="148"/>
      <c r="T355" s="147"/>
      <c r="U355" s="144"/>
      <c r="V355" s="144"/>
    </row>
    <row r="356" spans="1:22" ht="14" x14ac:dyDescent="0.15">
      <c r="A356" s="144"/>
      <c r="B356" s="144"/>
      <c r="C356" s="145"/>
      <c r="D356" s="145"/>
      <c r="E356" s="148"/>
      <c r="F356" s="147"/>
      <c r="G356" s="144"/>
      <c r="H356" s="144"/>
      <c r="I356" s="144"/>
      <c r="J356" s="145"/>
      <c r="K356" s="145"/>
      <c r="L356" s="148"/>
      <c r="M356" s="149"/>
      <c r="N356" s="144"/>
      <c r="O356" s="144"/>
      <c r="P356" s="144"/>
      <c r="Q356" s="145"/>
      <c r="R356" s="145"/>
      <c r="S356" s="148"/>
      <c r="T356" s="147"/>
      <c r="U356" s="144"/>
      <c r="V356" s="144"/>
    </row>
    <row r="357" spans="1:22" ht="14" x14ac:dyDescent="0.15">
      <c r="A357" s="144"/>
      <c r="B357" s="144"/>
      <c r="C357" s="145"/>
      <c r="D357" s="145"/>
      <c r="E357" s="148"/>
      <c r="F357" s="147"/>
      <c r="G357" s="144"/>
      <c r="H357" s="144"/>
      <c r="I357" s="144"/>
      <c r="J357" s="145"/>
      <c r="K357" s="145"/>
      <c r="L357" s="148"/>
      <c r="M357" s="149"/>
      <c r="N357" s="144"/>
      <c r="O357" s="144"/>
      <c r="P357" s="144"/>
      <c r="Q357" s="145"/>
      <c r="R357" s="145"/>
      <c r="S357" s="148"/>
      <c r="T357" s="147"/>
      <c r="U357" s="144"/>
      <c r="V357" s="144"/>
    </row>
    <row r="358" spans="1:22" ht="14" x14ac:dyDescent="0.15">
      <c r="A358" s="144"/>
      <c r="B358" s="144"/>
      <c r="C358" s="145"/>
      <c r="D358" s="145"/>
      <c r="E358" s="148"/>
      <c r="F358" s="147"/>
      <c r="G358" s="144"/>
      <c r="H358" s="144"/>
      <c r="I358" s="144"/>
      <c r="J358" s="145"/>
      <c r="K358" s="145"/>
      <c r="L358" s="148"/>
      <c r="M358" s="149"/>
      <c r="N358" s="144"/>
      <c r="O358" s="144"/>
      <c r="P358" s="144"/>
      <c r="Q358" s="145"/>
      <c r="R358" s="145"/>
      <c r="S358" s="148"/>
      <c r="T358" s="147"/>
      <c r="U358" s="144"/>
      <c r="V358" s="144"/>
    </row>
    <row r="359" spans="1:22" ht="14" x14ac:dyDescent="0.15">
      <c r="A359" s="144"/>
      <c r="B359" s="144"/>
      <c r="C359" s="145"/>
      <c r="D359" s="145"/>
      <c r="E359" s="148"/>
      <c r="F359" s="147"/>
      <c r="G359" s="144"/>
      <c r="H359" s="144"/>
      <c r="I359" s="144"/>
      <c r="J359" s="145"/>
      <c r="K359" s="145"/>
      <c r="L359" s="148"/>
      <c r="M359" s="149"/>
      <c r="N359" s="144"/>
      <c r="O359" s="144"/>
      <c r="P359" s="144"/>
      <c r="Q359" s="145"/>
      <c r="R359" s="145"/>
      <c r="S359" s="148"/>
      <c r="T359" s="147"/>
      <c r="U359" s="144"/>
      <c r="V359" s="144"/>
    </row>
    <row r="360" spans="1:22" ht="14" x14ac:dyDescent="0.15">
      <c r="A360" s="144"/>
      <c r="B360" s="144"/>
      <c r="C360" s="145"/>
      <c r="D360" s="145"/>
      <c r="E360" s="148"/>
      <c r="F360" s="147"/>
      <c r="G360" s="144"/>
      <c r="H360" s="144"/>
      <c r="I360" s="144"/>
      <c r="J360" s="145"/>
      <c r="K360" s="145"/>
      <c r="L360" s="148"/>
      <c r="M360" s="149"/>
      <c r="N360" s="144"/>
      <c r="O360" s="144"/>
      <c r="P360" s="144"/>
      <c r="Q360" s="145"/>
      <c r="R360" s="145"/>
      <c r="S360" s="148"/>
      <c r="T360" s="147"/>
      <c r="U360" s="144"/>
      <c r="V360" s="144"/>
    </row>
    <row r="361" spans="1:22" ht="14" x14ac:dyDescent="0.15">
      <c r="A361" s="144"/>
      <c r="B361" s="144"/>
      <c r="C361" s="145"/>
      <c r="D361" s="145"/>
      <c r="E361" s="148"/>
      <c r="F361" s="147"/>
      <c r="G361" s="144"/>
      <c r="H361" s="144"/>
      <c r="I361" s="144"/>
      <c r="J361" s="145"/>
      <c r="K361" s="145"/>
      <c r="L361" s="148"/>
      <c r="M361" s="149"/>
      <c r="N361" s="144"/>
      <c r="O361" s="144"/>
      <c r="P361" s="144"/>
      <c r="Q361" s="145"/>
      <c r="R361" s="145"/>
      <c r="S361" s="148"/>
      <c r="T361" s="147"/>
      <c r="U361" s="144"/>
      <c r="V361" s="144"/>
    </row>
    <row r="362" spans="1:22" ht="14" x14ac:dyDescent="0.15">
      <c r="A362" s="144"/>
      <c r="B362" s="144"/>
      <c r="C362" s="145"/>
      <c r="D362" s="145"/>
      <c r="E362" s="148"/>
      <c r="F362" s="147"/>
      <c r="G362" s="144"/>
      <c r="H362" s="144"/>
      <c r="I362" s="144"/>
      <c r="J362" s="145"/>
      <c r="K362" s="145"/>
      <c r="L362" s="148"/>
      <c r="M362" s="149"/>
      <c r="N362" s="144"/>
      <c r="O362" s="144"/>
      <c r="P362" s="144"/>
      <c r="Q362" s="145"/>
      <c r="R362" s="145"/>
      <c r="S362" s="148"/>
      <c r="T362" s="147"/>
      <c r="U362" s="144"/>
      <c r="V362" s="144"/>
    </row>
    <row r="363" spans="1:22" ht="14" x14ac:dyDescent="0.15">
      <c r="A363" s="144"/>
      <c r="B363" s="144"/>
      <c r="C363" s="145"/>
      <c r="D363" s="145"/>
      <c r="E363" s="148"/>
      <c r="F363" s="147"/>
      <c r="G363" s="144"/>
      <c r="H363" s="144"/>
      <c r="I363" s="144"/>
      <c r="J363" s="145"/>
      <c r="K363" s="145"/>
      <c r="L363" s="148"/>
      <c r="M363" s="149"/>
      <c r="N363" s="144"/>
      <c r="O363" s="144"/>
      <c r="P363" s="144"/>
      <c r="Q363" s="145"/>
      <c r="R363" s="145"/>
      <c r="S363" s="148"/>
      <c r="T363" s="147"/>
      <c r="U363" s="144"/>
      <c r="V363" s="144"/>
    </row>
    <row r="364" spans="1:22" ht="14" x14ac:dyDescent="0.15">
      <c r="A364" s="144"/>
      <c r="B364" s="144"/>
      <c r="C364" s="145"/>
      <c r="D364" s="145"/>
      <c r="E364" s="148"/>
      <c r="F364" s="147"/>
      <c r="G364" s="144"/>
      <c r="H364" s="144"/>
      <c r="I364" s="144"/>
      <c r="J364" s="145"/>
      <c r="K364" s="145"/>
      <c r="L364" s="148"/>
      <c r="M364" s="149"/>
      <c r="N364" s="144"/>
      <c r="O364" s="144"/>
      <c r="P364" s="144"/>
      <c r="Q364" s="145"/>
      <c r="R364" s="145"/>
      <c r="S364" s="148"/>
      <c r="T364" s="147"/>
      <c r="U364" s="144"/>
      <c r="V364" s="144"/>
    </row>
    <row r="365" spans="1:22" ht="14" x14ac:dyDescent="0.15">
      <c r="A365" s="144"/>
      <c r="B365" s="144"/>
      <c r="C365" s="145"/>
      <c r="D365" s="145"/>
      <c r="E365" s="148"/>
      <c r="F365" s="147"/>
      <c r="G365" s="144"/>
      <c r="H365" s="144"/>
      <c r="I365" s="144"/>
      <c r="J365" s="145"/>
      <c r="K365" s="145"/>
      <c r="L365" s="148"/>
      <c r="M365" s="149"/>
      <c r="N365" s="144"/>
      <c r="O365" s="144"/>
      <c r="P365" s="144"/>
      <c r="Q365" s="145"/>
      <c r="R365" s="145"/>
      <c r="S365" s="148"/>
      <c r="T365" s="147"/>
      <c r="U365" s="144"/>
      <c r="V365" s="144"/>
    </row>
    <row r="366" spans="1:22" ht="14" x14ac:dyDescent="0.15">
      <c r="A366" s="144"/>
      <c r="B366" s="144"/>
      <c r="C366" s="145"/>
      <c r="D366" s="145"/>
      <c r="E366" s="148"/>
      <c r="F366" s="147"/>
      <c r="G366" s="144"/>
      <c r="H366" s="144"/>
      <c r="I366" s="144"/>
      <c r="J366" s="145"/>
      <c r="K366" s="145"/>
      <c r="L366" s="148"/>
      <c r="M366" s="149"/>
      <c r="N366" s="144"/>
      <c r="O366" s="144"/>
      <c r="P366" s="144"/>
      <c r="Q366" s="145"/>
      <c r="R366" s="145"/>
      <c r="S366" s="148"/>
      <c r="T366" s="147"/>
      <c r="U366" s="144"/>
      <c r="V366" s="144"/>
    </row>
    <row r="367" spans="1:22" ht="14" x14ac:dyDescent="0.15">
      <c r="A367" s="144"/>
      <c r="B367" s="144"/>
      <c r="C367" s="145"/>
      <c r="D367" s="145"/>
      <c r="E367" s="148"/>
      <c r="F367" s="147"/>
      <c r="G367" s="144"/>
      <c r="H367" s="144"/>
      <c r="I367" s="144"/>
      <c r="J367" s="145"/>
      <c r="K367" s="145"/>
      <c r="L367" s="148"/>
      <c r="M367" s="149"/>
      <c r="N367" s="144"/>
      <c r="O367" s="144"/>
      <c r="P367" s="144"/>
      <c r="Q367" s="145"/>
      <c r="R367" s="145"/>
      <c r="S367" s="148"/>
      <c r="T367" s="147"/>
      <c r="U367" s="144"/>
      <c r="V367" s="144"/>
    </row>
    <row r="368" spans="1:22" ht="14" x14ac:dyDescent="0.15">
      <c r="A368" s="144"/>
      <c r="B368" s="144"/>
      <c r="C368" s="145"/>
      <c r="D368" s="145"/>
      <c r="E368" s="148"/>
      <c r="F368" s="147"/>
      <c r="G368" s="144"/>
      <c r="H368" s="144"/>
      <c r="I368" s="144"/>
      <c r="J368" s="145"/>
      <c r="K368" s="145"/>
      <c r="L368" s="148"/>
      <c r="M368" s="149"/>
      <c r="N368" s="144"/>
      <c r="O368" s="144"/>
      <c r="P368" s="144"/>
      <c r="Q368" s="145"/>
      <c r="R368" s="145"/>
      <c r="S368" s="148"/>
      <c r="T368" s="147"/>
      <c r="U368" s="144"/>
      <c r="V368" s="144"/>
    </row>
    <row r="369" spans="1:22" ht="14" x14ac:dyDescent="0.15">
      <c r="A369" s="144"/>
      <c r="B369" s="144"/>
      <c r="C369" s="145"/>
      <c r="D369" s="145"/>
      <c r="E369" s="148"/>
      <c r="F369" s="147"/>
      <c r="G369" s="144"/>
      <c r="H369" s="144"/>
      <c r="I369" s="144"/>
      <c r="J369" s="145"/>
      <c r="K369" s="145"/>
      <c r="L369" s="148"/>
      <c r="M369" s="149"/>
      <c r="N369" s="144"/>
      <c r="O369" s="144"/>
      <c r="P369" s="144"/>
      <c r="Q369" s="145"/>
      <c r="R369" s="145"/>
      <c r="S369" s="148"/>
      <c r="T369" s="147"/>
      <c r="U369" s="144"/>
      <c r="V369" s="144"/>
    </row>
    <row r="370" spans="1:22" ht="14" x14ac:dyDescent="0.15">
      <c r="A370" s="144"/>
      <c r="B370" s="144"/>
      <c r="C370" s="145"/>
      <c r="D370" s="145"/>
      <c r="E370" s="148"/>
      <c r="F370" s="147"/>
      <c r="G370" s="144"/>
      <c r="H370" s="144"/>
      <c r="I370" s="144"/>
      <c r="J370" s="145"/>
      <c r="K370" s="145"/>
      <c r="L370" s="148"/>
      <c r="M370" s="149"/>
      <c r="N370" s="144"/>
      <c r="O370" s="144"/>
      <c r="P370" s="144"/>
      <c r="Q370" s="145"/>
      <c r="R370" s="145"/>
      <c r="S370" s="148"/>
      <c r="T370" s="147"/>
      <c r="U370" s="144"/>
      <c r="V370" s="144"/>
    </row>
    <row r="371" spans="1:22" ht="14" x14ac:dyDescent="0.15">
      <c r="A371" s="144"/>
      <c r="B371" s="144"/>
      <c r="C371" s="145"/>
      <c r="D371" s="145"/>
      <c r="E371" s="148"/>
      <c r="F371" s="147"/>
      <c r="G371" s="144"/>
      <c r="H371" s="144"/>
      <c r="I371" s="144"/>
      <c r="J371" s="145"/>
      <c r="K371" s="145"/>
      <c r="L371" s="148"/>
      <c r="M371" s="149"/>
      <c r="N371" s="144"/>
      <c r="O371" s="144"/>
      <c r="P371" s="144"/>
      <c r="Q371" s="145"/>
      <c r="R371" s="145"/>
      <c r="S371" s="148"/>
      <c r="T371" s="147"/>
      <c r="U371" s="144"/>
      <c r="V371" s="144"/>
    </row>
    <row r="372" spans="1:22" ht="14" x14ac:dyDescent="0.15">
      <c r="A372" s="144"/>
      <c r="B372" s="144"/>
      <c r="C372" s="145"/>
      <c r="D372" s="145"/>
      <c r="E372" s="148"/>
      <c r="F372" s="147"/>
      <c r="G372" s="144"/>
      <c r="H372" s="144"/>
      <c r="I372" s="144"/>
      <c r="J372" s="145"/>
      <c r="K372" s="145"/>
      <c r="L372" s="148"/>
      <c r="M372" s="149"/>
      <c r="N372" s="144"/>
      <c r="O372" s="144"/>
      <c r="P372" s="144"/>
      <c r="Q372" s="145"/>
      <c r="R372" s="145"/>
      <c r="S372" s="148"/>
      <c r="T372" s="147"/>
      <c r="U372" s="144"/>
      <c r="V372" s="144"/>
    </row>
    <row r="373" spans="1:22" ht="14" x14ac:dyDescent="0.15">
      <c r="A373" s="144"/>
      <c r="B373" s="144"/>
      <c r="C373" s="145"/>
      <c r="D373" s="145"/>
      <c r="E373" s="148"/>
      <c r="F373" s="147"/>
      <c r="G373" s="144"/>
      <c r="H373" s="144"/>
      <c r="I373" s="144"/>
      <c r="J373" s="145"/>
      <c r="K373" s="145"/>
      <c r="L373" s="148"/>
      <c r="M373" s="149"/>
      <c r="N373" s="144"/>
      <c r="O373" s="144"/>
      <c r="P373" s="144"/>
      <c r="Q373" s="145"/>
      <c r="R373" s="145"/>
      <c r="S373" s="148"/>
      <c r="T373" s="147"/>
      <c r="U373" s="144"/>
      <c r="V373" s="144"/>
    </row>
    <row r="374" spans="1:22" ht="14" x14ac:dyDescent="0.15">
      <c r="A374" s="144"/>
      <c r="B374" s="144"/>
      <c r="C374" s="145"/>
      <c r="D374" s="145"/>
      <c r="E374" s="148"/>
      <c r="F374" s="147"/>
      <c r="G374" s="144"/>
      <c r="H374" s="144"/>
      <c r="I374" s="144"/>
      <c r="J374" s="145"/>
      <c r="K374" s="145"/>
      <c r="L374" s="148"/>
      <c r="M374" s="149"/>
      <c r="N374" s="144"/>
      <c r="O374" s="144"/>
      <c r="P374" s="144"/>
      <c r="Q374" s="145"/>
      <c r="R374" s="145"/>
      <c r="S374" s="148"/>
      <c r="T374" s="147"/>
      <c r="U374" s="144"/>
      <c r="V374" s="144"/>
    </row>
    <row r="375" spans="1:22" ht="14" x14ac:dyDescent="0.15">
      <c r="A375" s="144"/>
      <c r="B375" s="144"/>
      <c r="C375" s="145"/>
      <c r="D375" s="145"/>
      <c r="E375" s="148"/>
      <c r="F375" s="147"/>
      <c r="G375" s="144"/>
      <c r="H375" s="144"/>
      <c r="I375" s="144"/>
      <c r="J375" s="145"/>
      <c r="K375" s="145"/>
      <c r="L375" s="148"/>
      <c r="M375" s="149"/>
      <c r="N375" s="144"/>
      <c r="O375" s="144"/>
      <c r="P375" s="144"/>
      <c r="Q375" s="145"/>
      <c r="R375" s="145"/>
      <c r="S375" s="148"/>
      <c r="T375" s="147"/>
      <c r="U375" s="144"/>
      <c r="V375" s="144"/>
    </row>
    <row r="376" spans="1:22" ht="14" x14ac:dyDescent="0.15">
      <c r="A376" s="144"/>
      <c r="B376" s="144"/>
      <c r="C376" s="145"/>
      <c r="D376" s="145"/>
      <c r="E376" s="148"/>
      <c r="F376" s="147"/>
      <c r="G376" s="144"/>
      <c r="H376" s="144"/>
      <c r="I376" s="144"/>
      <c r="J376" s="145"/>
      <c r="K376" s="145"/>
      <c r="L376" s="148"/>
      <c r="M376" s="149"/>
      <c r="N376" s="144"/>
      <c r="O376" s="144"/>
      <c r="P376" s="144"/>
      <c r="Q376" s="145"/>
      <c r="R376" s="145"/>
      <c r="S376" s="148"/>
      <c r="T376" s="147"/>
      <c r="U376" s="144"/>
      <c r="V376" s="144"/>
    </row>
    <row r="377" spans="1:22" ht="14" x14ac:dyDescent="0.15">
      <c r="A377" s="144"/>
      <c r="B377" s="144"/>
      <c r="C377" s="145"/>
      <c r="D377" s="145"/>
      <c r="E377" s="148"/>
      <c r="F377" s="147"/>
      <c r="G377" s="144"/>
      <c r="H377" s="144"/>
      <c r="I377" s="144"/>
      <c r="J377" s="145"/>
      <c r="K377" s="145"/>
      <c r="L377" s="148"/>
      <c r="M377" s="149"/>
      <c r="N377" s="144"/>
      <c r="O377" s="144"/>
      <c r="P377" s="144"/>
      <c r="Q377" s="145"/>
      <c r="R377" s="145"/>
      <c r="S377" s="148"/>
      <c r="T377" s="147"/>
      <c r="U377" s="144"/>
      <c r="V377" s="144"/>
    </row>
    <row r="378" spans="1:22" ht="14" x14ac:dyDescent="0.15">
      <c r="A378" s="144"/>
      <c r="B378" s="144"/>
      <c r="C378" s="145"/>
      <c r="D378" s="145"/>
      <c r="E378" s="148"/>
      <c r="F378" s="147"/>
      <c r="G378" s="144"/>
      <c r="H378" s="144"/>
      <c r="I378" s="144"/>
      <c r="J378" s="145"/>
      <c r="K378" s="145"/>
      <c r="L378" s="148"/>
      <c r="M378" s="149"/>
      <c r="N378" s="144"/>
      <c r="O378" s="144"/>
      <c r="P378" s="144"/>
      <c r="Q378" s="145"/>
      <c r="R378" s="145"/>
      <c r="S378" s="148"/>
      <c r="T378" s="147"/>
      <c r="U378" s="144"/>
      <c r="V378" s="144"/>
    </row>
    <row r="379" spans="1:22" ht="14" x14ac:dyDescent="0.15">
      <c r="A379" s="144"/>
      <c r="B379" s="144"/>
      <c r="C379" s="145"/>
      <c r="D379" s="145"/>
      <c r="E379" s="148"/>
      <c r="F379" s="147"/>
      <c r="G379" s="144"/>
      <c r="H379" s="144"/>
      <c r="I379" s="144"/>
      <c r="J379" s="145"/>
      <c r="K379" s="145"/>
      <c r="L379" s="148"/>
      <c r="M379" s="149"/>
      <c r="N379" s="144"/>
      <c r="O379" s="144"/>
      <c r="P379" s="144"/>
      <c r="Q379" s="145"/>
      <c r="R379" s="145"/>
      <c r="S379" s="148"/>
      <c r="T379" s="147"/>
      <c r="U379" s="144"/>
      <c r="V379" s="144"/>
    </row>
    <row r="380" spans="1:22" ht="14" x14ac:dyDescent="0.15">
      <c r="A380" s="144"/>
      <c r="B380" s="144"/>
      <c r="C380" s="145"/>
      <c r="D380" s="145"/>
      <c r="E380" s="148"/>
      <c r="F380" s="147"/>
      <c r="G380" s="144"/>
      <c r="H380" s="144"/>
      <c r="I380" s="144"/>
      <c r="J380" s="145"/>
      <c r="K380" s="145"/>
      <c r="L380" s="148"/>
      <c r="M380" s="149"/>
      <c r="N380" s="144"/>
      <c r="O380" s="144"/>
      <c r="P380" s="144"/>
      <c r="Q380" s="145"/>
      <c r="R380" s="145"/>
      <c r="S380" s="148"/>
      <c r="T380" s="147"/>
      <c r="U380" s="144"/>
      <c r="V380" s="144"/>
    </row>
    <row r="381" spans="1:22" ht="14" x14ac:dyDescent="0.15">
      <c r="A381" s="144"/>
      <c r="B381" s="144"/>
      <c r="C381" s="145"/>
      <c r="D381" s="145"/>
      <c r="E381" s="148"/>
      <c r="F381" s="147"/>
      <c r="G381" s="144"/>
      <c r="H381" s="144"/>
      <c r="I381" s="144"/>
      <c r="J381" s="145"/>
      <c r="K381" s="145"/>
      <c r="L381" s="148"/>
      <c r="M381" s="149"/>
      <c r="N381" s="144"/>
      <c r="O381" s="144"/>
      <c r="P381" s="144"/>
      <c r="Q381" s="145"/>
      <c r="R381" s="145"/>
      <c r="S381" s="148"/>
      <c r="T381" s="147"/>
      <c r="U381" s="144"/>
      <c r="V381" s="144"/>
    </row>
    <row r="382" spans="1:22" ht="14" x14ac:dyDescent="0.15">
      <c r="A382" s="144"/>
      <c r="B382" s="144"/>
      <c r="C382" s="145"/>
      <c r="D382" s="145"/>
      <c r="E382" s="148"/>
      <c r="F382" s="147"/>
      <c r="G382" s="144"/>
      <c r="H382" s="144"/>
      <c r="I382" s="144"/>
      <c r="J382" s="145"/>
      <c r="K382" s="145"/>
      <c r="L382" s="148"/>
      <c r="M382" s="149"/>
      <c r="N382" s="144"/>
      <c r="O382" s="144"/>
      <c r="P382" s="144"/>
      <c r="Q382" s="145"/>
      <c r="R382" s="145"/>
      <c r="S382" s="148"/>
      <c r="T382" s="147"/>
      <c r="U382" s="144"/>
      <c r="V382" s="144"/>
    </row>
    <row r="383" spans="1:22" ht="14" x14ac:dyDescent="0.15">
      <c r="A383" s="144"/>
      <c r="B383" s="144"/>
      <c r="C383" s="145"/>
      <c r="D383" s="145"/>
      <c r="E383" s="148"/>
      <c r="F383" s="147"/>
      <c r="G383" s="144"/>
      <c r="H383" s="144"/>
      <c r="I383" s="144"/>
      <c r="J383" s="145"/>
      <c r="K383" s="145"/>
      <c r="L383" s="148"/>
      <c r="M383" s="149"/>
      <c r="N383" s="144"/>
      <c r="O383" s="144"/>
      <c r="P383" s="144"/>
      <c r="Q383" s="145"/>
      <c r="R383" s="145"/>
      <c r="S383" s="148"/>
      <c r="T383" s="147"/>
      <c r="U383" s="144"/>
      <c r="V383" s="144"/>
    </row>
    <row r="384" spans="1:22" ht="14" x14ac:dyDescent="0.15">
      <c r="A384" s="144"/>
      <c r="B384" s="144"/>
      <c r="C384" s="145"/>
      <c r="D384" s="145"/>
      <c r="E384" s="148"/>
      <c r="F384" s="147"/>
      <c r="G384" s="144"/>
      <c r="H384" s="144"/>
      <c r="I384" s="144"/>
      <c r="J384" s="145"/>
      <c r="K384" s="145"/>
      <c r="L384" s="148"/>
      <c r="M384" s="149"/>
      <c r="N384" s="144"/>
      <c r="O384" s="144"/>
      <c r="P384" s="144"/>
      <c r="Q384" s="145"/>
      <c r="R384" s="145"/>
      <c r="S384" s="148"/>
      <c r="T384" s="147"/>
      <c r="U384" s="144"/>
      <c r="V384" s="144"/>
    </row>
    <row r="385" spans="1:22" ht="14" x14ac:dyDescent="0.15">
      <c r="A385" s="144"/>
      <c r="B385" s="144"/>
      <c r="C385" s="145"/>
      <c r="D385" s="145"/>
      <c r="E385" s="148"/>
      <c r="F385" s="147"/>
      <c r="G385" s="144"/>
      <c r="H385" s="144"/>
      <c r="I385" s="144"/>
      <c r="J385" s="145"/>
      <c r="K385" s="145"/>
      <c r="L385" s="148"/>
      <c r="M385" s="149"/>
      <c r="N385" s="144"/>
      <c r="O385" s="144"/>
      <c r="P385" s="144"/>
      <c r="Q385" s="145"/>
      <c r="R385" s="145"/>
      <c r="S385" s="148"/>
      <c r="T385" s="147"/>
      <c r="U385" s="144"/>
      <c r="V385" s="144"/>
    </row>
    <row r="386" spans="1:22" ht="14" x14ac:dyDescent="0.15">
      <c r="A386" s="144"/>
      <c r="B386" s="144"/>
      <c r="C386" s="145"/>
      <c r="D386" s="145"/>
      <c r="E386" s="148"/>
      <c r="F386" s="147"/>
      <c r="G386" s="144"/>
      <c r="H386" s="144"/>
      <c r="I386" s="144"/>
      <c r="J386" s="145"/>
      <c r="K386" s="145"/>
      <c r="L386" s="148"/>
      <c r="M386" s="149"/>
      <c r="N386" s="144"/>
      <c r="O386" s="144"/>
      <c r="P386" s="144"/>
      <c r="Q386" s="145"/>
      <c r="R386" s="145"/>
      <c r="S386" s="148"/>
      <c r="T386" s="147"/>
      <c r="U386" s="144"/>
      <c r="V386" s="144"/>
    </row>
    <row r="387" spans="1:22" ht="14" x14ac:dyDescent="0.15">
      <c r="A387" s="144"/>
      <c r="B387" s="144"/>
      <c r="C387" s="145"/>
      <c r="D387" s="145"/>
      <c r="E387" s="148"/>
      <c r="F387" s="147"/>
      <c r="G387" s="144"/>
      <c r="H387" s="144"/>
      <c r="I387" s="144"/>
      <c r="J387" s="145"/>
      <c r="K387" s="145"/>
      <c r="L387" s="148"/>
      <c r="M387" s="149"/>
      <c r="N387" s="144"/>
      <c r="O387" s="144"/>
      <c r="P387" s="144"/>
      <c r="Q387" s="145"/>
      <c r="R387" s="145"/>
      <c r="S387" s="148"/>
      <c r="T387" s="147"/>
      <c r="U387" s="144"/>
      <c r="V387" s="144"/>
    </row>
    <row r="388" spans="1:22" ht="14" x14ac:dyDescent="0.15">
      <c r="A388" s="144"/>
      <c r="B388" s="144"/>
      <c r="C388" s="145"/>
      <c r="D388" s="145"/>
      <c r="E388" s="148"/>
      <c r="F388" s="147"/>
      <c r="G388" s="144"/>
      <c r="H388" s="144"/>
      <c r="I388" s="144"/>
      <c r="J388" s="145"/>
      <c r="K388" s="145"/>
      <c r="L388" s="148"/>
      <c r="M388" s="149"/>
      <c r="N388" s="144"/>
      <c r="O388" s="144"/>
      <c r="P388" s="144"/>
      <c r="Q388" s="145"/>
      <c r="R388" s="145"/>
      <c r="S388" s="148"/>
      <c r="T388" s="147"/>
      <c r="U388" s="144"/>
      <c r="V388" s="144"/>
    </row>
    <row r="389" spans="1:22" ht="14" x14ac:dyDescent="0.15">
      <c r="A389" s="144"/>
      <c r="B389" s="144"/>
      <c r="C389" s="145"/>
      <c r="D389" s="145"/>
      <c r="E389" s="148"/>
      <c r="F389" s="147"/>
      <c r="G389" s="144"/>
      <c r="H389" s="144"/>
      <c r="I389" s="144"/>
      <c r="J389" s="145"/>
      <c r="K389" s="145"/>
      <c r="L389" s="148"/>
      <c r="M389" s="149"/>
      <c r="N389" s="144"/>
      <c r="O389" s="144"/>
      <c r="P389" s="144"/>
      <c r="Q389" s="145"/>
      <c r="R389" s="145"/>
      <c r="S389" s="148"/>
      <c r="T389" s="147"/>
      <c r="U389" s="144"/>
      <c r="V389" s="144"/>
    </row>
    <row r="390" spans="1:22" ht="14" x14ac:dyDescent="0.15">
      <c r="A390" s="144"/>
      <c r="B390" s="144"/>
      <c r="C390" s="145"/>
      <c r="D390" s="145"/>
      <c r="E390" s="148"/>
      <c r="F390" s="147"/>
      <c r="G390" s="144"/>
      <c r="H390" s="144"/>
      <c r="I390" s="144"/>
      <c r="J390" s="145"/>
      <c r="K390" s="145"/>
      <c r="L390" s="148"/>
      <c r="M390" s="149"/>
      <c r="N390" s="144"/>
      <c r="O390" s="144"/>
      <c r="P390" s="144"/>
      <c r="Q390" s="145"/>
      <c r="R390" s="145"/>
      <c r="S390" s="148"/>
      <c r="T390" s="147"/>
      <c r="U390" s="144"/>
      <c r="V390" s="144"/>
    </row>
    <row r="391" spans="1:22" ht="14" x14ac:dyDescent="0.15">
      <c r="A391" s="144"/>
      <c r="B391" s="144"/>
      <c r="C391" s="145"/>
      <c r="D391" s="145"/>
      <c r="E391" s="148"/>
      <c r="F391" s="147"/>
      <c r="G391" s="144"/>
      <c r="H391" s="144"/>
      <c r="I391" s="144"/>
      <c r="J391" s="145"/>
      <c r="K391" s="145"/>
      <c r="L391" s="148"/>
      <c r="M391" s="149"/>
      <c r="N391" s="144"/>
      <c r="O391" s="144"/>
      <c r="P391" s="144"/>
      <c r="Q391" s="145"/>
      <c r="R391" s="145"/>
      <c r="S391" s="148"/>
      <c r="T391" s="147"/>
      <c r="U391" s="144"/>
      <c r="V391" s="144"/>
    </row>
    <row r="392" spans="1:22" ht="14" x14ac:dyDescent="0.15">
      <c r="A392" s="144"/>
      <c r="B392" s="144"/>
      <c r="C392" s="145"/>
      <c r="D392" s="145"/>
      <c r="E392" s="148"/>
      <c r="F392" s="147"/>
      <c r="G392" s="144"/>
      <c r="H392" s="144"/>
      <c r="I392" s="144"/>
      <c r="J392" s="145"/>
      <c r="K392" s="145"/>
      <c r="L392" s="148"/>
      <c r="M392" s="149"/>
      <c r="N392" s="144"/>
      <c r="O392" s="144"/>
      <c r="P392" s="144"/>
      <c r="Q392" s="145"/>
      <c r="R392" s="145"/>
      <c r="S392" s="148"/>
      <c r="T392" s="147"/>
      <c r="U392" s="144"/>
      <c r="V392" s="144"/>
    </row>
    <row r="393" spans="1:22" ht="14" x14ac:dyDescent="0.15">
      <c r="A393" s="144"/>
      <c r="B393" s="144"/>
      <c r="C393" s="145"/>
      <c r="D393" s="145"/>
      <c r="E393" s="148"/>
      <c r="F393" s="147"/>
      <c r="G393" s="144"/>
      <c r="H393" s="144"/>
      <c r="I393" s="144"/>
      <c r="J393" s="145"/>
      <c r="K393" s="145"/>
      <c r="L393" s="148"/>
      <c r="M393" s="149"/>
      <c r="N393" s="144"/>
      <c r="O393" s="144"/>
      <c r="P393" s="144"/>
      <c r="Q393" s="145"/>
      <c r="R393" s="145"/>
      <c r="S393" s="148"/>
      <c r="T393" s="147"/>
      <c r="U393" s="144"/>
      <c r="V393" s="144"/>
    </row>
    <row r="394" spans="1:22" ht="14" x14ac:dyDescent="0.15">
      <c r="A394" s="144"/>
      <c r="B394" s="144"/>
      <c r="C394" s="145"/>
      <c r="D394" s="145"/>
      <c r="E394" s="148"/>
      <c r="F394" s="147"/>
      <c r="G394" s="144"/>
      <c r="H394" s="144"/>
      <c r="I394" s="144"/>
      <c r="J394" s="145"/>
      <c r="K394" s="145"/>
      <c r="L394" s="148"/>
      <c r="M394" s="149"/>
      <c r="N394" s="144"/>
      <c r="O394" s="144"/>
      <c r="P394" s="144"/>
      <c r="Q394" s="145"/>
      <c r="R394" s="145"/>
      <c r="S394" s="148"/>
      <c r="T394" s="147"/>
      <c r="U394" s="144"/>
      <c r="V394" s="144"/>
    </row>
    <row r="395" spans="1:22" ht="14" x14ac:dyDescent="0.15">
      <c r="A395" s="144"/>
      <c r="B395" s="144"/>
      <c r="C395" s="145"/>
      <c r="D395" s="145"/>
      <c r="E395" s="148"/>
      <c r="F395" s="147"/>
      <c r="G395" s="144"/>
      <c r="H395" s="144"/>
      <c r="I395" s="144"/>
      <c r="J395" s="145"/>
      <c r="K395" s="145"/>
      <c r="L395" s="148"/>
      <c r="M395" s="149"/>
      <c r="N395" s="144"/>
      <c r="O395" s="144"/>
      <c r="P395" s="144"/>
      <c r="Q395" s="145"/>
      <c r="R395" s="145"/>
      <c r="S395" s="148"/>
      <c r="T395" s="147"/>
      <c r="U395" s="144"/>
      <c r="V395" s="144"/>
    </row>
    <row r="396" spans="1:22" ht="14" x14ac:dyDescent="0.15">
      <c r="A396" s="144"/>
      <c r="B396" s="144"/>
      <c r="C396" s="145"/>
      <c r="D396" s="145"/>
      <c r="E396" s="148"/>
      <c r="F396" s="147"/>
      <c r="G396" s="144"/>
      <c r="H396" s="144"/>
      <c r="I396" s="144"/>
      <c r="J396" s="145"/>
      <c r="K396" s="145"/>
      <c r="L396" s="148"/>
      <c r="M396" s="149"/>
      <c r="N396" s="144"/>
      <c r="O396" s="144"/>
      <c r="P396" s="144"/>
      <c r="Q396" s="145"/>
      <c r="R396" s="145"/>
      <c r="S396" s="148"/>
      <c r="T396" s="147"/>
      <c r="U396" s="144"/>
      <c r="V396" s="144"/>
    </row>
    <row r="397" spans="1:22" ht="14" x14ac:dyDescent="0.15">
      <c r="A397" s="144"/>
      <c r="B397" s="144"/>
      <c r="C397" s="145"/>
      <c r="D397" s="145"/>
      <c r="E397" s="148"/>
      <c r="F397" s="147"/>
      <c r="G397" s="144"/>
      <c r="H397" s="144"/>
      <c r="I397" s="144"/>
      <c r="J397" s="145"/>
      <c r="K397" s="145"/>
      <c r="L397" s="148"/>
      <c r="M397" s="149"/>
      <c r="N397" s="144"/>
      <c r="O397" s="144"/>
      <c r="P397" s="144"/>
      <c r="Q397" s="145"/>
      <c r="R397" s="145"/>
      <c r="S397" s="148"/>
      <c r="T397" s="147"/>
      <c r="U397" s="144"/>
      <c r="V397" s="144"/>
    </row>
    <row r="398" spans="1:22" ht="14" x14ac:dyDescent="0.15">
      <c r="A398" s="144"/>
      <c r="B398" s="144"/>
      <c r="C398" s="145"/>
      <c r="D398" s="145"/>
      <c r="E398" s="148"/>
      <c r="F398" s="147"/>
      <c r="G398" s="144"/>
      <c r="H398" s="144"/>
      <c r="I398" s="144"/>
      <c r="J398" s="145"/>
      <c r="K398" s="145"/>
      <c r="L398" s="148"/>
      <c r="M398" s="149"/>
      <c r="N398" s="144"/>
      <c r="O398" s="144"/>
      <c r="P398" s="144"/>
      <c r="Q398" s="145"/>
      <c r="R398" s="145"/>
      <c r="S398" s="148"/>
      <c r="T398" s="147"/>
      <c r="U398" s="144"/>
      <c r="V398" s="144"/>
    </row>
    <row r="399" spans="1:22" ht="14" x14ac:dyDescent="0.15">
      <c r="A399" s="144"/>
      <c r="B399" s="144"/>
      <c r="C399" s="145"/>
      <c r="D399" s="145"/>
      <c r="E399" s="148"/>
      <c r="F399" s="147"/>
      <c r="G399" s="144"/>
      <c r="H399" s="144"/>
      <c r="I399" s="144"/>
      <c r="J399" s="145"/>
      <c r="K399" s="145"/>
      <c r="L399" s="148"/>
      <c r="M399" s="149"/>
      <c r="N399" s="144"/>
      <c r="O399" s="144"/>
      <c r="P399" s="144"/>
      <c r="Q399" s="145"/>
      <c r="R399" s="145"/>
      <c r="S399" s="148"/>
      <c r="T399" s="147"/>
      <c r="U399" s="144"/>
      <c r="V399" s="144"/>
    </row>
    <row r="400" spans="1:22" ht="14" x14ac:dyDescent="0.15">
      <c r="A400" s="144"/>
      <c r="B400" s="144"/>
      <c r="C400" s="145"/>
      <c r="D400" s="145"/>
      <c r="E400" s="148"/>
      <c r="F400" s="147"/>
      <c r="G400" s="144"/>
      <c r="H400" s="144"/>
      <c r="I400" s="144"/>
      <c r="J400" s="145"/>
      <c r="K400" s="145"/>
      <c r="L400" s="148"/>
      <c r="M400" s="149"/>
      <c r="N400" s="144"/>
      <c r="O400" s="144"/>
      <c r="P400" s="144"/>
      <c r="Q400" s="145"/>
      <c r="R400" s="145"/>
      <c r="S400" s="148"/>
      <c r="T400" s="147"/>
      <c r="U400" s="144"/>
      <c r="V400" s="144"/>
    </row>
    <row r="401" spans="1:22" ht="14" x14ac:dyDescent="0.15">
      <c r="A401" s="144"/>
      <c r="B401" s="144"/>
      <c r="C401" s="145"/>
      <c r="D401" s="145"/>
      <c r="E401" s="148"/>
      <c r="F401" s="147"/>
      <c r="G401" s="144"/>
      <c r="H401" s="144"/>
      <c r="I401" s="144"/>
      <c r="J401" s="145"/>
      <c r="K401" s="145"/>
      <c r="L401" s="148"/>
      <c r="M401" s="149"/>
      <c r="N401" s="144"/>
      <c r="O401" s="144"/>
      <c r="P401" s="144"/>
      <c r="Q401" s="145"/>
      <c r="R401" s="145"/>
      <c r="S401" s="148"/>
      <c r="T401" s="147"/>
      <c r="U401" s="144"/>
      <c r="V401" s="144"/>
    </row>
    <row r="402" spans="1:22" ht="14" x14ac:dyDescent="0.15">
      <c r="A402" s="144"/>
      <c r="B402" s="144"/>
      <c r="C402" s="145"/>
      <c r="D402" s="145"/>
      <c r="E402" s="148"/>
      <c r="F402" s="147"/>
      <c r="G402" s="144"/>
      <c r="H402" s="144"/>
      <c r="I402" s="144"/>
      <c r="J402" s="145"/>
      <c r="K402" s="145"/>
      <c r="L402" s="148"/>
      <c r="M402" s="149"/>
      <c r="N402" s="144"/>
      <c r="O402" s="144"/>
      <c r="P402" s="144"/>
      <c r="Q402" s="145"/>
      <c r="R402" s="145"/>
      <c r="S402" s="148"/>
      <c r="T402" s="147"/>
      <c r="U402" s="144"/>
      <c r="V402" s="144"/>
    </row>
    <row r="403" spans="1:22" ht="14" x14ac:dyDescent="0.15">
      <c r="A403" s="144"/>
      <c r="B403" s="144"/>
      <c r="C403" s="145"/>
      <c r="D403" s="145"/>
      <c r="E403" s="148"/>
      <c r="F403" s="147"/>
      <c r="G403" s="144"/>
      <c r="H403" s="144"/>
      <c r="I403" s="144"/>
      <c r="J403" s="145"/>
      <c r="K403" s="145"/>
      <c r="L403" s="148"/>
      <c r="M403" s="149"/>
      <c r="N403" s="144"/>
      <c r="O403" s="144"/>
      <c r="P403" s="144"/>
      <c r="Q403" s="145"/>
      <c r="R403" s="145"/>
      <c r="S403" s="148"/>
      <c r="T403" s="147"/>
      <c r="U403" s="144"/>
      <c r="V403" s="144"/>
    </row>
    <row r="404" spans="1:22" ht="14" x14ac:dyDescent="0.15">
      <c r="A404" s="144"/>
      <c r="B404" s="144"/>
      <c r="C404" s="145"/>
      <c r="D404" s="145"/>
      <c r="E404" s="148"/>
      <c r="F404" s="147"/>
      <c r="G404" s="144"/>
      <c r="H404" s="144"/>
      <c r="I404" s="144"/>
      <c r="J404" s="145"/>
      <c r="K404" s="145"/>
      <c r="L404" s="148"/>
      <c r="M404" s="149"/>
      <c r="N404" s="144"/>
      <c r="O404" s="144"/>
      <c r="P404" s="144"/>
      <c r="Q404" s="145"/>
      <c r="R404" s="145"/>
      <c r="S404" s="148"/>
      <c r="T404" s="147"/>
      <c r="U404" s="144"/>
      <c r="V404" s="144"/>
    </row>
    <row r="405" spans="1:22" ht="14" x14ac:dyDescent="0.15">
      <c r="A405" s="144"/>
      <c r="B405" s="144"/>
      <c r="C405" s="145"/>
      <c r="D405" s="145"/>
      <c r="E405" s="148"/>
      <c r="F405" s="147"/>
      <c r="G405" s="144"/>
      <c r="H405" s="144"/>
      <c r="I405" s="144"/>
      <c r="J405" s="145"/>
      <c r="K405" s="145"/>
      <c r="L405" s="148"/>
      <c r="M405" s="149"/>
      <c r="N405" s="144"/>
      <c r="O405" s="144"/>
      <c r="P405" s="144"/>
      <c r="Q405" s="145"/>
      <c r="R405" s="145"/>
      <c r="S405" s="148"/>
      <c r="T405" s="147"/>
      <c r="U405" s="144"/>
      <c r="V405" s="144"/>
    </row>
    <row r="406" spans="1:22" ht="14" x14ac:dyDescent="0.15">
      <c r="A406" s="144"/>
      <c r="B406" s="144"/>
      <c r="C406" s="145"/>
      <c r="D406" s="145"/>
      <c r="E406" s="148"/>
      <c r="F406" s="147"/>
      <c r="G406" s="144"/>
      <c r="H406" s="144"/>
      <c r="I406" s="144"/>
      <c r="J406" s="145"/>
      <c r="K406" s="145"/>
      <c r="L406" s="148"/>
      <c r="M406" s="149"/>
      <c r="N406" s="144"/>
      <c r="O406" s="144"/>
      <c r="P406" s="144"/>
      <c r="Q406" s="145"/>
      <c r="R406" s="145"/>
      <c r="S406" s="148"/>
      <c r="T406" s="147"/>
      <c r="U406" s="144"/>
      <c r="V406" s="144"/>
    </row>
    <row r="407" spans="1:22" ht="14" x14ac:dyDescent="0.15">
      <c r="A407" s="144"/>
      <c r="B407" s="144"/>
      <c r="C407" s="145"/>
      <c r="D407" s="145"/>
      <c r="E407" s="148"/>
      <c r="F407" s="147"/>
      <c r="G407" s="144"/>
      <c r="H407" s="144"/>
      <c r="I407" s="144"/>
      <c r="J407" s="145"/>
      <c r="K407" s="145"/>
      <c r="L407" s="148"/>
      <c r="M407" s="149"/>
      <c r="N407" s="144"/>
      <c r="O407" s="144"/>
      <c r="P407" s="144"/>
      <c r="Q407" s="145"/>
      <c r="R407" s="145"/>
      <c r="S407" s="148"/>
      <c r="T407" s="147"/>
      <c r="U407" s="144"/>
      <c r="V407" s="144"/>
    </row>
    <row r="408" spans="1:22" ht="14" x14ac:dyDescent="0.15">
      <c r="A408" s="144"/>
      <c r="B408" s="144"/>
      <c r="C408" s="145"/>
      <c r="D408" s="145"/>
      <c r="E408" s="148"/>
      <c r="F408" s="147"/>
      <c r="G408" s="144"/>
      <c r="H408" s="144"/>
      <c r="I408" s="144"/>
      <c r="J408" s="145"/>
      <c r="K408" s="145"/>
      <c r="L408" s="148"/>
      <c r="M408" s="149"/>
      <c r="N408" s="144"/>
      <c r="O408" s="144"/>
      <c r="P408" s="144"/>
      <c r="Q408" s="145"/>
      <c r="R408" s="145"/>
      <c r="S408" s="148"/>
      <c r="T408" s="147"/>
      <c r="U408" s="144"/>
      <c r="V408" s="144"/>
    </row>
    <row r="409" spans="1:22" ht="14" x14ac:dyDescent="0.15">
      <c r="A409" s="144"/>
      <c r="B409" s="144"/>
      <c r="C409" s="145"/>
      <c r="D409" s="145"/>
      <c r="E409" s="148"/>
      <c r="F409" s="147"/>
      <c r="G409" s="144"/>
      <c r="H409" s="144"/>
      <c r="I409" s="144"/>
      <c r="J409" s="145"/>
      <c r="K409" s="145"/>
      <c r="L409" s="148"/>
      <c r="M409" s="149"/>
      <c r="N409" s="144"/>
      <c r="O409" s="144"/>
      <c r="P409" s="144"/>
      <c r="Q409" s="145"/>
      <c r="R409" s="145"/>
      <c r="S409" s="148"/>
      <c r="T409" s="147"/>
      <c r="U409" s="144"/>
      <c r="V409" s="144"/>
    </row>
    <row r="410" spans="1:22" ht="14" x14ac:dyDescent="0.15">
      <c r="A410" s="144"/>
      <c r="B410" s="144"/>
      <c r="C410" s="145"/>
      <c r="D410" s="145"/>
      <c r="E410" s="148"/>
      <c r="F410" s="147"/>
      <c r="G410" s="144"/>
      <c r="H410" s="144"/>
      <c r="I410" s="144"/>
      <c r="J410" s="145"/>
      <c r="K410" s="145"/>
      <c r="L410" s="148"/>
      <c r="M410" s="149"/>
      <c r="N410" s="144"/>
      <c r="O410" s="144"/>
      <c r="P410" s="144"/>
      <c r="Q410" s="145"/>
      <c r="R410" s="145"/>
      <c r="S410" s="148"/>
      <c r="T410" s="147"/>
      <c r="U410" s="144"/>
      <c r="V410" s="144"/>
    </row>
    <row r="411" spans="1:22" ht="14" x14ac:dyDescent="0.15">
      <c r="A411" s="144"/>
      <c r="B411" s="144"/>
      <c r="C411" s="145"/>
      <c r="D411" s="145"/>
      <c r="E411" s="148"/>
      <c r="F411" s="147"/>
      <c r="G411" s="144"/>
      <c r="H411" s="144"/>
      <c r="I411" s="144"/>
      <c r="J411" s="145"/>
      <c r="K411" s="145"/>
      <c r="L411" s="148"/>
      <c r="M411" s="149"/>
      <c r="N411" s="144"/>
      <c r="O411" s="144"/>
      <c r="P411" s="144"/>
      <c r="Q411" s="145"/>
      <c r="R411" s="145"/>
      <c r="S411" s="148"/>
      <c r="T411" s="147"/>
      <c r="U411" s="144"/>
      <c r="V411" s="144"/>
    </row>
    <row r="412" spans="1:22" ht="14" x14ac:dyDescent="0.15">
      <c r="A412" s="144"/>
      <c r="B412" s="144"/>
      <c r="C412" s="145"/>
      <c r="D412" s="145"/>
      <c r="E412" s="148"/>
      <c r="F412" s="147"/>
      <c r="G412" s="144"/>
      <c r="H412" s="144"/>
      <c r="I412" s="144"/>
      <c r="J412" s="145"/>
      <c r="K412" s="145"/>
      <c r="L412" s="148"/>
      <c r="M412" s="149"/>
      <c r="N412" s="144"/>
      <c r="O412" s="144"/>
      <c r="P412" s="144"/>
      <c r="Q412" s="145"/>
      <c r="R412" s="145"/>
      <c r="S412" s="148"/>
      <c r="T412" s="147"/>
      <c r="U412" s="144"/>
      <c r="V412" s="144"/>
    </row>
    <row r="413" spans="1:22" ht="14" x14ac:dyDescent="0.15">
      <c r="A413" s="144"/>
      <c r="B413" s="144"/>
      <c r="C413" s="145"/>
      <c r="D413" s="145"/>
      <c r="E413" s="148"/>
      <c r="F413" s="147"/>
      <c r="G413" s="144"/>
      <c r="H413" s="144"/>
      <c r="I413" s="144"/>
      <c r="J413" s="145"/>
      <c r="K413" s="145"/>
      <c r="L413" s="148"/>
      <c r="M413" s="149"/>
      <c r="N413" s="144"/>
      <c r="O413" s="144"/>
      <c r="P413" s="144"/>
      <c r="Q413" s="145"/>
      <c r="R413" s="145"/>
      <c r="S413" s="148"/>
      <c r="T413" s="147"/>
      <c r="U413" s="144"/>
      <c r="V413" s="144"/>
    </row>
    <row r="414" spans="1:22" ht="14" x14ac:dyDescent="0.15">
      <c r="A414" s="144"/>
      <c r="B414" s="144"/>
      <c r="C414" s="145"/>
      <c r="D414" s="145"/>
      <c r="E414" s="148"/>
      <c r="F414" s="147"/>
      <c r="G414" s="144"/>
      <c r="H414" s="144"/>
      <c r="I414" s="144"/>
      <c r="J414" s="145"/>
      <c r="K414" s="145"/>
      <c r="L414" s="148"/>
      <c r="M414" s="149"/>
      <c r="N414" s="144"/>
      <c r="O414" s="144"/>
      <c r="P414" s="144"/>
      <c r="Q414" s="145"/>
      <c r="R414" s="145"/>
      <c r="S414" s="148"/>
      <c r="T414" s="147"/>
      <c r="U414" s="144"/>
      <c r="V414" s="144"/>
    </row>
    <row r="415" spans="1:22" ht="14" x14ac:dyDescent="0.15">
      <c r="A415" s="144"/>
      <c r="B415" s="144"/>
      <c r="C415" s="145"/>
      <c r="D415" s="145"/>
      <c r="E415" s="148"/>
      <c r="F415" s="147"/>
      <c r="G415" s="144"/>
      <c r="H415" s="144"/>
      <c r="I415" s="144"/>
      <c r="J415" s="145"/>
      <c r="K415" s="145"/>
      <c r="L415" s="148"/>
      <c r="M415" s="149"/>
      <c r="N415" s="144"/>
      <c r="O415" s="144"/>
      <c r="P415" s="144"/>
      <c r="Q415" s="145"/>
      <c r="R415" s="145"/>
      <c r="S415" s="148"/>
      <c r="T415" s="147"/>
      <c r="U415" s="144"/>
      <c r="V415" s="144"/>
    </row>
    <row r="416" spans="1:22" ht="14" x14ac:dyDescent="0.15">
      <c r="A416" s="144"/>
      <c r="B416" s="144"/>
      <c r="C416" s="145"/>
      <c r="D416" s="145"/>
      <c r="E416" s="148"/>
      <c r="F416" s="147"/>
      <c r="G416" s="144"/>
      <c r="H416" s="144"/>
      <c r="I416" s="144"/>
      <c r="J416" s="145"/>
      <c r="K416" s="145"/>
      <c r="L416" s="148"/>
      <c r="M416" s="149"/>
      <c r="N416" s="144"/>
      <c r="O416" s="144"/>
      <c r="P416" s="144"/>
      <c r="Q416" s="145"/>
      <c r="R416" s="145"/>
      <c r="S416" s="148"/>
      <c r="T416" s="147"/>
      <c r="U416" s="144"/>
      <c r="V416" s="144"/>
    </row>
    <row r="417" spans="1:22" ht="14" x14ac:dyDescent="0.15">
      <c r="A417" s="144"/>
      <c r="B417" s="144"/>
      <c r="C417" s="145"/>
      <c r="D417" s="145"/>
      <c r="E417" s="148"/>
      <c r="F417" s="147"/>
      <c r="G417" s="144"/>
      <c r="H417" s="144"/>
      <c r="I417" s="144"/>
      <c r="J417" s="145"/>
      <c r="K417" s="145"/>
      <c r="L417" s="148"/>
      <c r="M417" s="149"/>
      <c r="N417" s="144"/>
      <c r="O417" s="144"/>
      <c r="P417" s="144"/>
      <c r="Q417" s="145"/>
      <c r="R417" s="145"/>
      <c r="S417" s="148"/>
      <c r="T417" s="147"/>
      <c r="U417" s="144"/>
      <c r="V417" s="144"/>
    </row>
    <row r="418" spans="1:22" ht="14" x14ac:dyDescent="0.15">
      <c r="A418" s="144"/>
      <c r="B418" s="144"/>
      <c r="C418" s="145"/>
      <c r="D418" s="145"/>
      <c r="E418" s="148"/>
      <c r="F418" s="147"/>
      <c r="G418" s="144"/>
      <c r="H418" s="144"/>
      <c r="I418" s="144"/>
      <c r="J418" s="145"/>
      <c r="K418" s="145"/>
      <c r="L418" s="148"/>
      <c r="M418" s="149"/>
      <c r="N418" s="144"/>
      <c r="O418" s="144"/>
      <c r="P418" s="144"/>
      <c r="Q418" s="145"/>
      <c r="R418" s="145"/>
      <c r="S418" s="148"/>
      <c r="T418" s="147"/>
      <c r="U418" s="144"/>
      <c r="V418" s="144"/>
    </row>
    <row r="419" spans="1:22" ht="14" x14ac:dyDescent="0.15">
      <c r="A419" s="144"/>
      <c r="B419" s="144"/>
      <c r="C419" s="145"/>
      <c r="D419" s="145"/>
      <c r="E419" s="148"/>
      <c r="F419" s="147"/>
      <c r="G419" s="144"/>
      <c r="H419" s="144"/>
      <c r="I419" s="144"/>
      <c r="J419" s="145"/>
      <c r="K419" s="145"/>
      <c r="L419" s="148"/>
      <c r="M419" s="149"/>
      <c r="N419" s="144"/>
      <c r="O419" s="144"/>
      <c r="P419" s="144"/>
      <c r="Q419" s="145"/>
      <c r="R419" s="145"/>
      <c r="S419" s="148"/>
      <c r="T419" s="147"/>
      <c r="U419" s="144"/>
      <c r="V419" s="144"/>
    </row>
    <row r="420" spans="1:22" ht="14" x14ac:dyDescent="0.15">
      <c r="A420" s="144"/>
      <c r="B420" s="144"/>
      <c r="C420" s="145"/>
      <c r="D420" s="145"/>
      <c r="E420" s="148"/>
      <c r="F420" s="147"/>
      <c r="G420" s="144"/>
      <c r="H420" s="144"/>
      <c r="I420" s="144"/>
      <c r="J420" s="145"/>
      <c r="K420" s="145"/>
      <c r="L420" s="148"/>
      <c r="M420" s="149"/>
      <c r="N420" s="144"/>
      <c r="O420" s="144"/>
      <c r="P420" s="144"/>
      <c r="Q420" s="145"/>
      <c r="R420" s="145"/>
      <c r="S420" s="148"/>
      <c r="T420" s="147"/>
      <c r="U420" s="144"/>
      <c r="V420" s="144"/>
    </row>
    <row r="421" spans="1:22" ht="14" x14ac:dyDescent="0.15">
      <c r="A421" s="144"/>
      <c r="B421" s="144"/>
      <c r="C421" s="145"/>
      <c r="D421" s="145"/>
      <c r="E421" s="148"/>
      <c r="F421" s="147"/>
      <c r="G421" s="144"/>
      <c r="H421" s="144"/>
      <c r="I421" s="144"/>
      <c r="J421" s="145"/>
      <c r="K421" s="145"/>
      <c r="L421" s="148"/>
      <c r="M421" s="149"/>
      <c r="N421" s="144"/>
      <c r="O421" s="144"/>
      <c r="P421" s="144"/>
      <c r="Q421" s="145"/>
      <c r="R421" s="145"/>
      <c r="S421" s="148"/>
      <c r="T421" s="147"/>
      <c r="U421" s="144"/>
      <c r="V421" s="144"/>
    </row>
    <row r="422" spans="1:22" ht="14" x14ac:dyDescent="0.15">
      <c r="A422" s="144"/>
      <c r="B422" s="144"/>
      <c r="C422" s="145"/>
      <c r="D422" s="145"/>
      <c r="E422" s="148"/>
      <c r="F422" s="147"/>
      <c r="G422" s="144"/>
      <c r="H422" s="144"/>
      <c r="I422" s="144"/>
      <c r="J422" s="145"/>
      <c r="K422" s="145"/>
      <c r="L422" s="148"/>
      <c r="M422" s="149"/>
      <c r="N422" s="144"/>
      <c r="O422" s="144"/>
      <c r="P422" s="144"/>
      <c r="Q422" s="145"/>
      <c r="R422" s="145"/>
      <c r="S422" s="148"/>
      <c r="T422" s="147"/>
      <c r="U422" s="144"/>
      <c r="V422" s="144"/>
    </row>
    <row r="423" spans="1:22" ht="14" x14ac:dyDescent="0.15">
      <c r="A423" s="144"/>
      <c r="B423" s="144"/>
      <c r="C423" s="145"/>
      <c r="D423" s="145"/>
      <c r="E423" s="148"/>
      <c r="F423" s="147"/>
      <c r="G423" s="144"/>
      <c r="H423" s="144"/>
      <c r="I423" s="144"/>
      <c r="J423" s="145"/>
      <c r="K423" s="145"/>
      <c r="L423" s="148"/>
      <c r="M423" s="149"/>
      <c r="N423" s="144"/>
      <c r="O423" s="144"/>
      <c r="P423" s="144"/>
      <c r="Q423" s="145"/>
      <c r="R423" s="145"/>
      <c r="S423" s="148"/>
      <c r="T423" s="147"/>
      <c r="U423" s="144"/>
      <c r="V423" s="144"/>
    </row>
    <row r="424" spans="1:22" ht="14" x14ac:dyDescent="0.15">
      <c r="A424" s="144"/>
      <c r="B424" s="144"/>
      <c r="C424" s="145"/>
      <c r="D424" s="145"/>
      <c r="E424" s="148"/>
      <c r="F424" s="147"/>
      <c r="G424" s="144"/>
      <c r="H424" s="144"/>
      <c r="I424" s="144"/>
      <c r="J424" s="145"/>
      <c r="K424" s="145"/>
      <c r="L424" s="148"/>
      <c r="M424" s="149"/>
      <c r="N424" s="144"/>
      <c r="O424" s="144"/>
      <c r="P424" s="144"/>
      <c r="Q424" s="145"/>
      <c r="R424" s="145"/>
      <c r="S424" s="148"/>
      <c r="T424" s="147"/>
      <c r="U424" s="144"/>
      <c r="V424" s="144"/>
    </row>
    <row r="425" spans="1:22" ht="14" x14ac:dyDescent="0.15">
      <c r="A425" s="144"/>
      <c r="B425" s="144"/>
      <c r="C425" s="145"/>
      <c r="D425" s="145"/>
      <c r="E425" s="148"/>
      <c r="F425" s="147"/>
      <c r="G425" s="144"/>
      <c r="H425" s="144"/>
      <c r="I425" s="144"/>
      <c r="J425" s="145"/>
      <c r="K425" s="145"/>
      <c r="L425" s="148"/>
      <c r="M425" s="149"/>
      <c r="N425" s="144"/>
      <c r="O425" s="144"/>
      <c r="P425" s="144"/>
      <c r="Q425" s="145"/>
      <c r="R425" s="145"/>
      <c r="S425" s="148"/>
      <c r="T425" s="147"/>
      <c r="U425" s="144"/>
      <c r="V425" s="144"/>
    </row>
    <row r="426" spans="1:22" ht="14" x14ac:dyDescent="0.15">
      <c r="A426" s="144"/>
      <c r="B426" s="144"/>
      <c r="C426" s="145"/>
      <c r="D426" s="145"/>
      <c r="E426" s="148"/>
      <c r="F426" s="147"/>
      <c r="G426" s="144"/>
      <c r="H426" s="144"/>
      <c r="I426" s="144"/>
      <c r="J426" s="145"/>
      <c r="K426" s="145"/>
      <c r="L426" s="148"/>
      <c r="M426" s="149"/>
      <c r="N426" s="144"/>
      <c r="O426" s="144"/>
      <c r="P426" s="144"/>
      <c r="Q426" s="145"/>
      <c r="R426" s="145"/>
      <c r="S426" s="148"/>
      <c r="T426" s="147"/>
      <c r="U426" s="144"/>
      <c r="V426" s="144"/>
    </row>
    <row r="427" spans="1:22" ht="14" x14ac:dyDescent="0.15">
      <c r="A427" s="144"/>
      <c r="B427" s="144"/>
      <c r="C427" s="145"/>
      <c r="D427" s="145"/>
      <c r="E427" s="148"/>
      <c r="F427" s="147"/>
      <c r="G427" s="144"/>
      <c r="H427" s="144"/>
      <c r="I427" s="144"/>
      <c r="J427" s="145"/>
      <c r="K427" s="145"/>
      <c r="L427" s="148"/>
      <c r="M427" s="149"/>
      <c r="N427" s="144"/>
      <c r="O427" s="144"/>
      <c r="P427" s="144"/>
      <c r="Q427" s="145"/>
      <c r="R427" s="145"/>
      <c r="S427" s="148"/>
      <c r="T427" s="147"/>
      <c r="U427" s="144"/>
      <c r="V427" s="144"/>
    </row>
    <row r="428" spans="1:22" ht="14" x14ac:dyDescent="0.15">
      <c r="A428" s="144"/>
      <c r="B428" s="144"/>
      <c r="C428" s="145"/>
      <c r="D428" s="145"/>
      <c r="E428" s="148"/>
      <c r="F428" s="147"/>
      <c r="G428" s="144"/>
      <c r="H428" s="144"/>
      <c r="I428" s="144"/>
      <c r="J428" s="145"/>
      <c r="K428" s="145"/>
      <c r="L428" s="148"/>
      <c r="M428" s="149"/>
      <c r="N428" s="144"/>
      <c r="O428" s="144"/>
      <c r="P428" s="144"/>
      <c r="Q428" s="145"/>
      <c r="R428" s="145"/>
      <c r="S428" s="148"/>
      <c r="T428" s="147"/>
      <c r="U428" s="144"/>
      <c r="V428" s="144"/>
    </row>
    <row r="429" spans="1:22" ht="14" x14ac:dyDescent="0.15">
      <c r="A429" s="144"/>
      <c r="B429" s="144"/>
      <c r="C429" s="145"/>
      <c r="D429" s="145"/>
      <c r="E429" s="148"/>
      <c r="F429" s="147"/>
      <c r="G429" s="144"/>
      <c r="H429" s="144"/>
      <c r="I429" s="144"/>
      <c r="J429" s="145"/>
      <c r="K429" s="145"/>
      <c r="L429" s="148"/>
      <c r="M429" s="149"/>
      <c r="N429" s="144"/>
      <c r="O429" s="144"/>
      <c r="P429" s="144"/>
      <c r="Q429" s="145"/>
      <c r="R429" s="145"/>
      <c r="S429" s="148"/>
      <c r="T429" s="147"/>
      <c r="U429" s="144"/>
      <c r="V429" s="144"/>
    </row>
    <row r="430" spans="1:22" ht="14" x14ac:dyDescent="0.15">
      <c r="A430" s="144"/>
      <c r="B430" s="144"/>
      <c r="C430" s="145"/>
      <c r="D430" s="145"/>
      <c r="E430" s="148"/>
      <c r="F430" s="147"/>
      <c r="G430" s="144"/>
      <c r="H430" s="144"/>
      <c r="I430" s="144"/>
      <c r="J430" s="145"/>
      <c r="K430" s="145"/>
      <c r="L430" s="148"/>
      <c r="M430" s="149"/>
      <c r="N430" s="144"/>
      <c r="O430" s="144"/>
      <c r="P430" s="144"/>
      <c r="Q430" s="145"/>
      <c r="R430" s="145"/>
      <c r="S430" s="148"/>
      <c r="T430" s="147"/>
      <c r="U430" s="144"/>
      <c r="V430" s="144"/>
    </row>
    <row r="431" spans="1:22" ht="14" x14ac:dyDescent="0.15">
      <c r="A431" s="144"/>
      <c r="B431" s="144"/>
      <c r="C431" s="145"/>
      <c r="D431" s="145"/>
      <c r="E431" s="148"/>
      <c r="F431" s="147"/>
      <c r="G431" s="144"/>
      <c r="H431" s="144"/>
      <c r="I431" s="144"/>
      <c r="J431" s="145"/>
      <c r="K431" s="145"/>
      <c r="L431" s="148"/>
      <c r="M431" s="149"/>
      <c r="N431" s="144"/>
      <c r="O431" s="144"/>
      <c r="P431" s="144"/>
      <c r="Q431" s="145"/>
      <c r="R431" s="145"/>
      <c r="S431" s="148"/>
      <c r="T431" s="147"/>
      <c r="U431" s="144"/>
      <c r="V431" s="144"/>
    </row>
    <row r="432" spans="1:22" ht="14" x14ac:dyDescent="0.15">
      <c r="A432" s="144"/>
      <c r="B432" s="144"/>
      <c r="C432" s="145"/>
      <c r="D432" s="145"/>
      <c r="E432" s="148"/>
      <c r="F432" s="147"/>
      <c r="G432" s="144"/>
      <c r="H432" s="144"/>
      <c r="I432" s="144"/>
      <c r="J432" s="145"/>
      <c r="K432" s="145"/>
      <c r="L432" s="148"/>
      <c r="M432" s="149"/>
      <c r="N432" s="144"/>
      <c r="O432" s="144"/>
      <c r="P432" s="144"/>
      <c r="Q432" s="145"/>
      <c r="R432" s="145"/>
      <c r="S432" s="148"/>
      <c r="T432" s="147"/>
      <c r="U432" s="144"/>
      <c r="V432" s="144"/>
    </row>
    <row r="433" spans="1:22" ht="14" x14ac:dyDescent="0.15">
      <c r="A433" s="144"/>
      <c r="B433" s="144"/>
      <c r="C433" s="145"/>
      <c r="D433" s="145"/>
      <c r="E433" s="148"/>
      <c r="F433" s="147"/>
      <c r="G433" s="144"/>
      <c r="H433" s="144"/>
      <c r="I433" s="144"/>
      <c r="J433" s="145"/>
      <c r="K433" s="145"/>
      <c r="L433" s="148"/>
      <c r="M433" s="149"/>
      <c r="N433" s="144"/>
      <c r="O433" s="144"/>
      <c r="P433" s="144"/>
      <c r="Q433" s="145"/>
      <c r="R433" s="145"/>
      <c r="S433" s="148"/>
      <c r="T433" s="147"/>
      <c r="U433" s="144"/>
      <c r="V433" s="144"/>
    </row>
    <row r="434" spans="1:22" ht="14" x14ac:dyDescent="0.15">
      <c r="A434" s="144"/>
      <c r="B434" s="144"/>
      <c r="C434" s="145"/>
      <c r="D434" s="145"/>
      <c r="E434" s="148"/>
      <c r="F434" s="147"/>
      <c r="G434" s="144"/>
      <c r="H434" s="144"/>
      <c r="I434" s="144"/>
      <c r="J434" s="145"/>
      <c r="K434" s="145"/>
      <c r="L434" s="148"/>
      <c r="M434" s="149"/>
      <c r="N434" s="144"/>
      <c r="O434" s="144"/>
      <c r="P434" s="144"/>
      <c r="Q434" s="145"/>
      <c r="R434" s="145"/>
      <c r="S434" s="148"/>
      <c r="T434" s="147"/>
      <c r="U434" s="144"/>
      <c r="V434" s="144"/>
    </row>
    <row r="435" spans="1:22" ht="14" x14ac:dyDescent="0.15">
      <c r="A435" s="144"/>
      <c r="B435" s="144"/>
      <c r="C435" s="145"/>
      <c r="D435" s="145"/>
      <c r="E435" s="148"/>
      <c r="F435" s="147"/>
      <c r="G435" s="144"/>
      <c r="H435" s="144"/>
      <c r="I435" s="144"/>
      <c r="J435" s="145"/>
      <c r="K435" s="145"/>
      <c r="L435" s="148"/>
      <c r="M435" s="149"/>
      <c r="N435" s="144"/>
      <c r="O435" s="144"/>
      <c r="P435" s="144"/>
      <c r="Q435" s="145"/>
      <c r="R435" s="145"/>
      <c r="S435" s="148"/>
      <c r="T435" s="147"/>
      <c r="U435" s="144"/>
      <c r="V435" s="144"/>
    </row>
    <row r="436" spans="1:22" ht="14" x14ac:dyDescent="0.15">
      <c r="A436" s="144"/>
      <c r="B436" s="144"/>
      <c r="C436" s="145"/>
      <c r="D436" s="145"/>
      <c r="E436" s="148"/>
      <c r="F436" s="147"/>
      <c r="G436" s="144"/>
      <c r="H436" s="144"/>
      <c r="I436" s="144"/>
      <c r="J436" s="145"/>
      <c r="K436" s="145"/>
      <c r="L436" s="148"/>
      <c r="M436" s="149"/>
      <c r="N436" s="144"/>
      <c r="O436" s="144"/>
      <c r="P436" s="144"/>
      <c r="Q436" s="145"/>
      <c r="R436" s="145"/>
      <c r="S436" s="148"/>
      <c r="T436" s="147"/>
      <c r="U436" s="144"/>
      <c r="V436" s="144"/>
    </row>
    <row r="437" spans="1:22" ht="14" x14ac:dyDescent="0.15">
      <c r="A437" s="144"/>
      <c r="B437" s="144"/>
      <c r="C437" s="145"/>
      <c r="D437" s="145"/>
      <c r="E437" s="148"/>
      <c r="F437" s="147"/>
      <c r="G437" s="144"/>
      <c r="H437" s="144"/>
      <c r="I437" s="144"/>
      <c r="J437" s="145"/>
      <c r="K437" s="145"/>
      <c r="L437" s="148"/>
      <c r="M437" s="149"/>
      <c r="N437" s="144"/>
      <c r="O437" s="144"/>
      <c r="P437" s="144"/>
      <c r="Q437" s="145"/>
      <c r="R437" s="145"/>
      <c r="S437" s="148"/>
      <c r="T437" s="147"/>
      <c r="U437" s="144"/>
      <c r="V437" s="144"/>
    </row>
    <row r="438" spans="1:22" ht="14" x14ac:dyDescent="0.15">
      <c r="A438" s="144"/>
      <c r="B438" s="144"/>
      <c r="C438" s="145"/>
      <c r="D438" s="145"/>
      <c r="E438" s="148"/>
      <c r="F438" s="147"/>
      <c r="G438" s="144"/>
      <c r="H438" s="144"/>
      <c r="I438" s="144"/>
      <c r="J438" s="145"/>
      <c r="K438" s="145"/>
      <c r="L438" s="148"/>
      <c r="M438" s="149"/>
      <c r="N438" s="144"/>
      <c r="O438" s="144"/>
      <c r="P438" s="144"/>
      <c r="Q438" s="145"/>
      <c r="R438" s="145"/>
      <c r="S438" s="148"/>
      <c r="T438" s="147"/>
      <c r="U438" s="144"/>
      <c r="V438" s="144"/>
    </row>
    <row r="439" spans="1:22" ht="14" x14ac:dyDescent="0.15">
      <c r="A439" s="144"/>
      <c r="B439" s="144"/>
      <c r="C439" s="145"/>
      <c r="D439" s="145"/>
      <c r="E439" s="148"/>
      <c r="F439" s="147"/>
      <c r="G439" s="144"/>
      <c r="H439" s="144"/>
      <c r="I439" s="144"/>
      <c r="J439" s="145"/>
      <c r="K439" s="145"/>
      <c r="L439" s="148"/>
      <c r="M439" s="149"/>
      <c r="N439" s="144"/>
      <c r="O439" s="144"/>
      <c r="P439" s="144"/>
      <c r="Q439" s="145"/>
      <c r="R439" s="145"/>
      <c r="S439" s="148"/>
      <c r="T439" s="147"/>
      <c r="U439" s="144"/>
      <c r="V439" s="144"/>
    </row>
    <row r="440" spans="1:22" ht="14" x14ac:dyDescent="0.15">
      <c r="A440" s="144"/>
      <c r="B440" s="144"/>
      <c r="C440" s="145"/>
      <c r="D440" s="145"/>
      <c r="E440" s="148"/>
      <c r="F440" s="147"/>
      <c r="G440" s="144"/>
      <c r="H440" s="144"/>
      <c r="I440" s="144"/>
      <c r="J440" s="145"/>
      <c r="K440" s="145"/>
      <c r="L440" s="148"/>
      <c r="M440" s="149"/>
      <c r="N440" s="144"/>
      <c r="O440" s="144"/>
      <c r="P440" s="144"/>
      <c r="Q440" s="145"/>
      <c r="R440" s="145"/>
      <c r="S440" s="148"/>
      <c r="T440" s="147"/>
      <c r="U440" s="144"/>
      <c r="V440" s="144"/>
    </row>
    <row r="441" spans="1:22" ht="14" x14ac:dyDescent="0.15">
      <c r="A441" s="144"/>
      <c r="B441" s="144"/>
      <c r="C441" s="145"/>
      <c r="D441" s="145"/>
      <c r="E441" s="148"/>
      <c r="F441" s="147"/>
      <c r="G441" s="144"/>
      <c r="H441" s="144"/>
      <c r="I441" s="144"/>
      <c r="J441" s="145"/>
      <c r="K441" s="145"/>
      <c r="L441" s="148"/>
      <c r="M441" s="149"/>
      <c r="N441" s="144"/>
      <c r="O441" s="144"/>
      <c r="P441" s="144"/>
      <c r="Q441" s="145"/>
      <c r="R441" s="145"/>
      <c r="S441" s="148"/>
      <c r="T441" s="147"/>
      <c r="U441" s="144"/>
      <c r="V441" s="144"/>
    </row>
    <row r="442" spans="1:22" ht="14" x14ac:dyDescent="0.15">
      <c r="A442" s="144"/>
      <c r="B442" s="144"/>
      <c r="C442" s="145"/>
      <c r="D442" s="145"/>
      <c r="E442" s="148"/>
      <c r="F442" s="147"/>
      <c r="G442" s="144"/>
      <c r="H442" s="144"/>
      <c r="I442" s="144"/>
      <c r="J442" s="145"/>
      <c r="K442" s="145"/>
      <c r="L442" s="148"/>
      <c r="M442" s="149"/>
      <c r="N442" s="144"/>
      <c r="O442" s="144"/>
      <c r="P442" s="144"/>
      <c r="Q442" s="145"/>
      <c r="R442" s="145"/>
      <c r="S442" s="148"/>
      <c r="T442" s="147"/>
      <c r="U442" s="144"/>
      <c r="V442" s="144"/>
    </row>
    <row r="443" spans="1:22" ht="14" x14ac:dyDescent="0.15">
      <c r="A443" s="144"/>
      <c r="B443" s="144"/>
      <c r="C443" s="145"/>
      <c r="D443" s="145"/>
      <c r="E443" s="148"/>
      <c r="F443" s="147"/>
      <c r="G443" s="144"/>
      <c r="H443" s="144"/>
      <c r="I443" s="144"/>
      <c r="J443" s="145"/>
      <c r="K443" s="145"/>
      <c r="L443" s="148"/>
      <c r="M443" s="149"/>
      <c r="N443" s="144"/>
      <c r="O443" s="144"/>
      <c r="P443" s="144"/>
      <c r="Q443" s="145"/>
      <c r="R443" s="145"/>
      <c r="S443" s="148"/>
      <c r="T443" s="147"/>
      <c r="U443" s="144"/>
      <c r="V443" s="144"/>
    </row>
    <row r="444" spans="1:22" ht="14" x14ac:dyDescent="0.15">
      <c r="A444" s="144"/>
      <c r="B444" s="144"/>
      <c r="C444" s="145"/>
      <c r="D444" s="145"/>
      <c r="E444" s="148"/>
      <c r="F444" s="147"/>
      <c r="G444" s="144"/>
      <c r="H444" s="144"/>
      <c r="I444" s="144"/>
      <c r="J444" s="145"/>
      <c r="K444" s="145"/>
      <c r="L444" s="148"/>
      <c r="M444" s="149"/>
      <c r="N444" s="144"/>
      <c r="O444" s="144"/>
      <c r="P444" s="144"/>
      <c r="Q444" s="145"/>
      <c r="R444" s="145"/>
      <c r="S444" s="148"/>
      <c r="T444" s="147"/>
      <c r="U444" s="144"/>
      <c r="V444" s="144"/>
    </row>
    <row r="445" spans="1:22" ht="14" x14ac:dyDescent="0.15">
      <c r="A445" s="144"/>
      <c r="B445" s="144"/>
      <c r="C445" s="145"/>
      <c r="D445" s="145"/>
      <c r="E445" s="148"/>
      <c r="F445" s="147"/>
      <c r="G445" s="144"/>
      <c r="H445" s="144"/>
      <c r="I445" s="144"/>
      <c r="J445" s="145"/>
      <c r="K445" s="145"/>
      <c r="L445" s="148"/>
      <c r="M445" s="149"/>
      <c r="N445" s="144"/>
      <c r="O445" s="144"/>
      <c r="P445" s="144"/>
      <c r="Q445" s="145"/>
      <c r="R445" s="145"/>
      <c r="S445" s="148"/>
      <c r="T445" s="147"/>
      <c r="U445" s="144"/>
      <c r="V445" s="144"/>
    </row>
    <row r="446" spans="1:22" ht="14" x14ac:dyDescent="0.15">
      <c r="A446" s="144"/>
      <c r="B446" s="144"/>
      <c r="C446" s="145"/>
      <c r="D446" s="145"/>
      <c r="E446" s="148"/>
      <c r="F446" s="147"/>
      <c r="G446" s="144"/>
      <c r="H446" s="144"/>
      <c r="I446" s="144"/>
      <c r="J446" s="145"/>
      <c r="K446" s="145"/>
      <c r="L446" s="148"/>
      <c r="M446" s="149"/>
      <c r="N446" s="144"/>
      <c r="O446" s="144"/>
      <c r="P446" s="144"/>
      <c r="Q446" s="145"/>
      <c r="R446" s="145"/>
      <c r="S446" s="148"/>
      <c r="T446" s="147"/>
      <c r="U446" s="144"/>
      <c r="V446" s="144"/>
    </row>
    <row r="447" spans="1:22" ht="14" x14ac:dyDescent="0.15">
      <c r="A447" s="144"/>
      <c r="B447" s="144"/>
      <c r="C447" s="145"/>
      <c r="D447" s="145"/>
      <c r="E447" s="148"/>
      <c r="F447" s="147"/>
      <c r="G447" s="144"/>
      <c r="H447" s="144"/>
      <c r="I447" s="144"/>
      <c r="J447" s="145"/>
      <c r="K447" s="145"/>
      <c r="L447" s="148"/>
      <c r="M447" s="149"/>
      <c r="N447" s="144"/>
      <c r="O447" s="144"/>
      <c r="P447" s="144"/>
      <c r="Q447" s="145"/>
      <c r="R447" s="145"/>
      <c r="S447" s="148"/>
      <c r="T447" s="147"/>
      <c r="U447" s="144"/>
      <c r="V447" s="144"/>
    </row>
    <row r="448" spans="1:22" ht="14" x14ac:dyDescent="0.15">
      <c r="A448" s="144"/>
      <c r="B448" s="144"/>
      <c r="C448" s="145"/>
      <c r="D448" s="145"/>
      <c r="E448" s="148"/>
      <c r="F448" s="147"/>
      <c r="G448" s="144"/>
      <c r="H448" s="144"/>
      <c r="I448" s="144"/>
      <c r="J448" s="145"/>
      <c r="K448" s="145"/>
      <c r="L448" s="148"/>
      <c r="M448" s="149"/>
      <c r="N448" s="144"/>
      <c r="O448" s="144"/>
      <c r="P448" s="144"/>
      <c r="Q448" s="145"/>
      <c r="R448" s="145"/>
      <c r="S448" s="148"/>
      <c r="T448" s="147"/>
      <c r="U448" s="144"/>
      <c r="V448" s="144"/>
    </row>
    <row r="449" spans="1:22" ht="14" x14ac:dyDescent="0.15">
      <c r="A449" s="144"/>
      <c r="B449" s="144"/>
      <c r="C449" s="145"/>
      <c r="D449" s="145"/>
      <c r="E449" s="148"/>
      <c r="F449" s="147"/>
      <c r="G449" s="144"/>
      <c r="H449" s="144"/>
      <c r="I449" s="144"/>
      <c r="J449" s="145"/>
      <c r="K449" s="145"/>
      <c r="L449" s="148"/>
      <c r="M449" s="149"/>
      <c r="N449" s="144"/>
      <c r="O449" s="144"/>
      <c r="P449" s="144"/>
      <c r="Q449" s="145"/>
      <c r="R449" s="145"/>
      <c r="S449" s="148"/>
      <c r="T449" s="147"/>
      <c r="U449" s="144"/>
      <c r="V449" s="144"/>
    </row>
    <row r="450" spans="1:22" ht="14" x14ac:dyDescent="0.15">
      <c r="A450" s="144"/>
      <c r="B450" s="144"/>
      <c r="C450" s="145"/>
      <c r="D450" s="145"/>
      <c r="E450" s="148"/>
      <c r="F450" s="147"/>
      <c r="G450" s="144"/>
      <c r="H450" s="144"/>
      <c r="I450" s="144"/>
      <c r="J450" s="145"/>
      <c r="K450" s="145"/>
      <c r="L450" s="148"/>
      <c r="M450" s="149"/>
      <c r="N450" s="144"/>
      <c r="O450" s="144"/>
      <c r="P450" s="144"/>
      <c r="Q450" s="145"/>
      <c r="R450" s="145"/>
      <c r="S450" s="148"/>
      <c r="T450" s="147"/>
      <c r="U450" s="144"/>
      <c r="V450" s="144"/>
    </row>
    <row r="451" spans="1:22" ht="14" x14ac:dyDescent="0.15">
      <c r="A451" s="144"/>
      <c r="B451" s="144"/>
      <c r="C451" s="145"/>
      <c r="D451" s="145"/>
      <c r="E451" s="148"/>
      <c r="F451" s="147"/>
      <c r="G451" s="144"/>
      <c r="H451" s="144"/>
      <c r="I451" s="144"/>
      <c r="J451" s="145"/>
      <c r="K451" s="145"/>
      <c r="L451" s="148"/>
      <c r="M451" s="149"/>
      <c r="N451" s="144"/>
      <c r="O451" s="144"/>
      <c r="P451" s="144"/>
      <c r="Q451" s="145"/>
      <c r="R451" s="145"/>
      <c r="S451" s="148"/>
      <c r="T451" s="147"/>
      <c r="U451" s="144"/>
      <c r="V451" s="144"/>
    </row>
    <row r="452" spans="1:22" ht="14" x14ac:dyDescent="0.15">
      <c r="A452" s="144"/>
      <c r="B452" s="144"/>
      <c r="C452" s="145"/>
      <c r="D452" s="145"/>
      <c r="E452" s="148"/>
      <c r="F452" s="147"/>
      <c r="G452" s="144"/>
      <c r="H452" s="144"/>
      <c r="I452" s="144"/>
      <c r="J452" s="145"/>
      <c r="K452" s="145"/>
      <c r="L452" s="148"/>
      <c r="M452" s="149"/>
      <c r="N452" s="144"/>
      <c r="O452" s="144"/>
      <c r="P452" s="144"/>
      <c r="Q452" s="145"/>
      <c r="R452" s="145"/>
      <c r="S452" s="148"/>
      <c r="T452" s="147"/>
      <c r="U452" s="144"/>
      <c r="V452" s="144"/>
    </row>
    <row r="453" spans="1:22" ht="14" x14ac:dyDescent="0.15">
      <c r="A453" s="144"/>
      <c r="B453" s="144"/>
      <c r="C453" s="145"/>
      <c r="D453" s="145"/>
      <c r="E453" s="148"/>
      <c r="F453" s="147"/>
      <c r="G453" s="144"/>
      <c r="H453" s="144"/>
      <c r="I453" s="144"/>
      <c r="J453" s="145"/>
      <c r="K453" s="145"/>
      <c r="L453" s="148"/>
      <c r="M453" s="149"/>
      <c r="N453" s="144"/>
      <c r="O453" s="144"/>
      <c r="P453" s="144"/>
      <c r="Q453" s="145"/>
      <c r="R453" s="145"/>
      <c r="S453" s="148"/>
      <c r="T453" s="147"/>
      <c r="U453" s="144"/>
      <c r="V453" s="144"/>
    </row>
    <row r="454" spans="1:22" ht="14" x14ac:dyDescent="0.15">
      <c r="A454" s="144"/>
      <c r="B454" s="144"/>
      <c r="C454" s="145"/>
      <c r="D454" s="145"/>
      <c r="E454" s="148"/>
      <c r="F454" s="147"/>
      <c r="G454" s="144"/>
      <c r="H454" s="144"/>
      <c r="I454" s="144"/>
      <c r="J454" s="145"/>
      <c r="K454" s="145"/>
      <c r="L454" s="148"/>
      <c r="M454" s="149"/>
      <c r="N454" s="144"/>
      <c r="O454" s="144"/>
      <c r="P454" s="144"/>
      <c r="Q454" s="145"/>
      <c r="R454" s="145"/>
      <c r="S454" s="148"/>
      <c r="T454" s="147"/>
      <c r="U454" s="144"/>
      <c r="V454" s="144"/>
    </row>
    <row r="455" spans="1:22" ht="14" x14ac:dyDescent="0.15">
      <c r="A455" s="144"/>
      <c r="B455" s="144"/>
      <c r="C455" s="145"/>
      <c r="D455" s="145"/>
      <c r="E455" s="148"/>
      <c r="F455" s="147"/>
      <c r="G455" s="144"/>
      <c r="H455" s="144"/>
      <c r="I455" s="144"/>
      <c r="J455" s="145"/>
      <c r="K455" s="145"/>
      <c r="L455" s="148"/>
      <c r="M455" s="149"/>
      <c r="N455" s="144"/>
      <c r="O455" s="144"/>
      <c r="P455" s="144"/>
      <c r="Q455" s="145"/>
      <c r="R455" s="145"/>
      <c r="S455" s="148"/>
      <c r="T455" s="147"/>
      <c r="U455" s="144"/>
      <c r="V455" s="144"/>
    </row>
    <row r="456" spans="1:22" ht="14" x14ac:dyDescent="0.15">
      <c r="A456" s="144"/>
      <c r="B456" s="144"/>
      <c r="C456" s="145"/>
      <c r="D456" s="145"/>
      <c r="E456" s="148"/>
      <c r="F456" s="147"/>
      <c r="G456" s="144"/>
      <c r="H456" s="144"/>
      <c r="I456" s="144"/>
      <c r="J456" s="145"/>
      <c r="K456" s="145"/>
      <c r="L456" s="148"/>
      <c r="M456" s="149"/>
      <c r="N456" s="144"/>
      <c r="O456" s="144"/>
      <c r="P456" s="144"/>
      <c r="Q456" s="145"/>
      <c r="R456" s="145"/>
      <c r="S456" s="148"/>
      <c r="T456" s="147"/>
      <c r="U456" s="144"/>
      <c r="V456" s="144"/>
    </row>
    <row r="457" spans="1:22" ht="14" x14ac:dyDescent="0.15">
      <c r="A457" s="144"/>
      <c r="B457" s="144"/>
      <c r="C457" s="145"/>
      <c r="D457" s="145"/>
      <c r="E457" s="148"/>
      <c r="F457" s="147"/>
      <c r="G457" s="144"/>
      <c r="H457" s="144"/>
      <c r="I457" s="144"/>
      <c r="J457" s="145"/>
      <c r="K457" s="145"/>
      <c r="L457" s="148"/>
      <c r="M457" s="149"/>
      <c r="N457" s="144"/>
      <c r="O457" s="144"/>
      <c r="P457" s="144"/>
      <c r="Q457" s="145"/>
      <c r="R457" s="145"/>
      <c r="S457" s="148"/>
      <c r="T457" s="147"/>
      <c r="U457" s="144"/>
      <c r="V457" s="144"/>
    </row>
    <row r="458" spans="1:22" ht="14" x14ac:dyDescent="0.15">
      <c r="A458" s="144"/>
      <c r="B458" s="144"/>
      <c r="C458" s="145"/>
      <c r="D458" s="145"/>
      <c r="E458" s="148"/>
      <c r="F458" s="147"/>
      <c r="G458" s="144"/>
      <c r="H458" s="144"/>
      <c r="I458" s="144"/>
      <c r="J458" s="145"/>
      <c r="K458" s="145"/>
      <c r="L458" s="148"/>
      <c r="M458" s="149"/>
      <c r="N458" s="144"/>
      <c r="O458" s="144"/>
      <c r="P458" s="144"/>
      <c r="Q458" s="145"/>
      <c r="R458" s="145"/>
      <c r="S458" s="148"/>
      <c r="T458" s="147"/>
      <c r="U458" s="144"/>
      <c r="V458" s="144"/>
    </row>
    <row r="459" spans="1:22" ht="14" x14ac:dyDescent="0.15">
      <c r="A459" s="144"/>
      <c r="B459" s="144"/>
      <c r="C459" s="145"/>
      <c r="D459" s="145"/>
      <c r="E459" s="148"/>
      <c r="F459" s="147"/>
      <c r="G459" s="144"/>
      <c r="H459" s="144"/>
      <c r="I459" s="144"/>
      <c r="J459" s="145"/>
      <c r="K459" s="145"/>
      <c r="L459" s="148"/>
      <c r="M459" s="149"/>
      <c r="N459" s="144"/>
      <c r="O459" s="144"/>
      <c r="P459" s="144"/>
      <c r="Q459" s="145"/>
      <c r="R459" s="145"/>
      <c r="S459" s="148"/>
      <c r="T459" s="147"/>
      <c r="U459" s="144"/>
      <c r="V459" s="144"/>
    </row>
    <row r="460" spans="1:22" ht="14" x14ac:dyDescent="0.15">
      <c r="A460" s="144"/>
      <c r="B460" s="144"/>
      <c r="C460" s="145"/>
      <c r="D460" s="145"/>
      <c r="E460" s="148"/>
      <c r="F460" s="147"/>
      <c r="G460" s="144"/>
      <c r="H460" s="144"/>
      <c r="I460" s="144"/>
      <c r="J460" s="145"/>
      <c r="K460" s="145"/>
      <c r="L460" s="148"/>
      <c r="M460" s="149"/>
      <c r="N460" s="144"/>
      <c r="O460" s="144"/>
      <c r="P460" s="144"/>
      <c r="Q460" s="145"/>
      <c r="R460" s="145"/>
      <c r="S460" s="148"/>
      <c r="T460" s="147"/>
      <c r="U460" s="144"/>
      <c r="V460" s="144"/>
    </row>
    <row r="461" spans="1:22" ht="14" x14ac:dyDescent="0.15">
      <c r="A461" s="144"/>
      <c r="B461" s="144"/>
      <c r="C461" s="145"/>
      <c r="D461" s="145"/>
      <c r="E461" s="148"/>
      <c r="F461" s="147"/>
      <c r="G461" s="144"/>
      <c r="H461" s="144"/>
      <c r="I461" s="144"/>
      <c r="J461" s="145"/>
      <c r="K461" s="145"/>
      <c r="L461" s="148"/>
      <c r="M461" s="149"/>
      <c r="N461" s="144"/>
      <c r="O461" s="144"/>
      <c r="P461" s="144"/>
      <c r="Q461" s="145"/>
      <c r="R461" s="145"/>
      <c r="S461" s="148"/>
      <c r="T461" s="147"/>
      <c r="U461" s="144"/>
      <c r="V461" s="144"/>
    </row>
    <row r="462" spans="1:22" ht="14" x14ac:dyDescent="0.15">
      <c r="A462" s="144"/>
      <c r="B462" s="144"/>
      <c r="C462" s="145"/>
      <c r="D462" s="145"/>
      <c r="E462" s="148"/>
      <c r="F462" s="147"/>
      <c r="G462" s="144"/>
      <c r="H462" s="144"/>
      <c r="I462" s="144"/>
      <c r="J462" s="145"/>
      <c r="K462" s="145"/>
      <c r="L462" s="148"/>
      <c r="M462" s="149"/>
      <c r="N462" s="144"/>
      <c r="O462" s="144"/>
      <c r="P462" s="144"/>
      <c r="Q462" s="145"/>
      <c r="R462" s="145"/>
      <c r="S462" s="148"/>
      <c r="T462" s="147"/>
      <c r="U462" s="144"/>
      <c r="V462" s="144"/>
    </row>
    <row r="463" spans="1:22" ht="14" x14ac:dyDescent="0.15">
      <c r="A463" s="144"/>
      <c r="B463" s="144"/>
      <c r="C463" s="145"/>
      <c r="D463" s="145"/>
      <c r="E463" s="148"/>
      <c r="F463" s="147"/>
      <c r="G463" s="144"/>
      <c r="H463" s="144"/>
      <c r="I463" s="144"/>
      <c r="J463" s="145"/>
      <c r="K463" s="145"/>
      <c r="L463" s="148"/>
      <c r="M463" s="149"/>
      <c r="N463" s="144"/>
      <c r="O463" s="144"/>
      <c r="P463" s="144"/>
      <c r="Q463" s="145"/>
      <c r="R463" s="145"/>
      <c r="S463" s="148"/>
      <c r="T463" s="147"/>
      <c r="U463" s="144"/>
      <c r="V463" s="144"/>
    </row>
    <row r="464" spans="1:22" ht="14" x14ac:dyDescent="0.15">
      <c r="A464" s="144"/>
      <c r="B464" s="144"/>
      <c r="C464" s="145"/>
      <c r="D464" s="145"/>
      <c r="E464" s="148"/>
      <c r="F464" s="147"/>
      <c r="G464" s="144"/>
      <c r="H464" s="144"/>
      <c r="I464" s="144"/>
      <c r="J464" s="145"/>
      <c r="K464" s="145"/>
      <c r="L464" s="148"/>
      <c r="M464" s="149"/>
      <c r="N464" s="144"/>
      <c r="O464" s="144"/>
      <c r="P464" s="144"/>
      <c r="Q464" s="145"/>
      <c r="R464" s="145"/>
      <c r="S464" s="148"/>
      <c r="T464" s="147"/>
      <c r="U464" s="144"/>
      <c r="V464" s="144"/>
    </row>
    <row r="465" spans="1:22" ht="14" x14ac:dyDescent="0.15">
      <c r="A465" s="144"/>
      <c r="B465" s="144"/>
      <c r="C465" s="145"/>
      <c r="D465" s="145"/>
      <c r="E465" s="148"/>
      <c r="F465" s="147"/>
      <c r="G465" s="144"/>
      <c r="H465" s="144"/>
      <c r="I465" s="144"/>
      <c r="J465" s="145"/>
      <c r="K465" s="145"/>
      <c r="L465" s="148"/>
      <c r="M465" s="149"/>
      <c r="N465" s="144"/>
      <c r="O465" s="144"/>
      <c r="P465" s="144"/>
      <c r="Q465" s="145"/>
      <c r="R465" s="145"/>
      <c r="S465" s="148"/>
      <c r="T465" s="147"/>
      <c r="U465" s="144"/>
      <c r="V465" s="144"/>
    </row>
    <row r="466" spans="1:22" ht="14" x14ac:dyDescent="0.15">
      <c r="A466" s="144"/>
      <c r="B466" s="144"/>
      <c r="C466" s="145"/>
      <c r="D466" s="145"/>
      <c r="E466" s="148"/>
      <c r="F466" s="147"/>
      <c r="G466" s="144"/>
      <c r="H466" s="144"/>
      <c r="I466" s="144"/>
      <c r="J466" s="145"/>
      <c r="K466" s="145"/>
      <c r="L466" s="148"/>
      <c r="M466" s="149"/>
      <c r="N466" s="144"/>
      <c r="O466" s="144"/>
      <c r="P466" s="144"/>
      <c r="Q466" s="145"/>
      <c r="R466" s="145"/>
      <c r="S466" s="148"/>
      <c r="T466" s="147"/>
      <c r="U466" s="144"/>
      <c r="V466" s="144"/>
    </row>
    <row r="467" spans="1:22" ht="14" x14ac:dyDescent="0.15">
      <c r="A467" s="144"/>
      <c r="B467" s="144"/>
      <c r="C467" s="145"/>
      <c r="D467" s="145"/>
      <c r="E467" s="148"/>
      <c r="F467" s="147"/>
      <c r="G467" s="144"/>
      <c r="H467" s="144"/>
      <c r="I467" s="144"/>
      <c r="J467" s="145"/>
      <c r="K467" s="145"/>
      <c r="L467" s="148"/>
      <c r="M467" s="149"/>
      <c r="N467" s="144"/>
      <c r="O467" s="144"/>
      <c r="P467" s="144"/>
      <c r="Q467" s="145"/>
      <c r="R467" s="145"/>
      <c r="S467" s="148"/>
      <c r="T467" s="147"/>
      <c r="U467" s="144"/>
      <c r="V467" s="144"/>
    </row>
    <row r="468" spans="1:22" ht="14" x14ac:dyDescent="0.15">
      <c r="A468" s="144"/>
      <c r="B468" s="144"/>
      <c r="C468" s="145"/>
      <c r="D468" s="145"/>
      <c r="E468" s="148"/>
      <c r="F468" s="147"/>
      <c r="G468" s="144"/>
      <c r="H468" s="144"/>
      <c r="I468" s="144"/>
      <c r="J468" s="145"/>
      <c r="K468" s="145"/>
      <c r="L468" s="148"/>
      <c r="M468" s="149"/>
      <c r="N468" s="144"/>
      <c r="O468" s="144"/>
      <c r="P468" s="144"/>
      <c r="Q468" s="145"/>
      <c r="R468" s="145"/>
      <c r="S468" s="148"/>
      <c r="T468" s="147"/>
      <c r="U468" s="144"/>
      <c r="V468" s="144"/>
    </row>
    <row r="469" spans="1:22" ht="14" x14ac:dyDescent="0.15">
      <c r="A469" s="144"/>
      <c r="B469" s="144"/>
      <c r="C469" s="145"/>
      <c r="D469" s="145"/>
      <c r="E469" s="148"/>
      <c r="F469" s="147"/>
      <c r="G469" s="144"/>
      <c r="H469" s="144"/>
      <c r="I469" s="144"/>
      <c r="J469" s="145"/>
      <c r="K469" s="145"/>
      <c r="L469" s="148"/>
      <c r="M469" s="149"/>
      <c r="N469" s="144"/>
      <c r="O469" s="144"/>
      <c r="P469" s="144"/>
      <c r="Q469" s="145"/>
      <c r="R469" s="145"/>
      <c r="S469" s="148"/>
      <c r="T469" s="147"/>
      <c r="U469" s="144"/>
      <c r="V469" s="144"/>
    </row>
    <row r="470" spans="1:22" ht="14" x14ac:dyDescent="0.15">
      <c r="A470" s="144"/>
      <c r="B470" s="144"/>
      <c r="C470" s="145"/>
      <c r="D470" s="145"/>
      <c r="E470" s="148"/>
      <c r="F470" s="147"/>
      <c r="G470" s="144"/>
      <c r="H470" s="144"/>
      <c r="I470" s="144"/>
      <c r="J470" s="145"/>
      <c r="K470" s="145"/>
      <c r="L470" s="148"/>
      <c r="M470" s="149"/>
      <c r="N470" s="144"/>
      <c r="O470" s="144"/>
      <c r="P470" s="144"/>
      <c r="Q470" s="145"/>
      <c r="R470" s="145"/>
      <c r="S470" s="148"/>
      <c r="T470" s="147"/>
      <c r="U470" s="144"/>
      <c r="V470" s="144"/>
    </row>
    <row r="471" spans="1:22" ht="14" x14ac:dyDescent="0.15">
      <c r="A471" s="144"/>
      <c r="B471" s="144"/>
      <c r="C471" s="145"/>
      <c r="D471" s="145"/>
      <c r="E471" s="148"/>
      <c r="F471" s="147"/>
      <c r="G471" s="144"/>
      <c r="H471" s="144"/>
      <c r="I471" s="144"/>
      <c r="J471" s="145"/>
      <c r="K471" s="145"/>
      <c r="L471" s="148"/>
      <c r="M471" s="149"/>
      <c r="N471" s="144"/>
      <c r="O471" s="144"/>
      <c r="P471" s="144"/>
      <c r="Q471" s="145"/>
      <c r="R471" s="145"/>
      <c r="S471" s="148"/>
      <c r="T471" s="147"/>
      <c r="U471" s="144"/>
      <c r="V471" s="144"/>
    </row>
    <row r="472" spans="1:22" ht="14" x14ac:dyDescent="0.15">
      <c r="A472" s="144"/>
      <c r="B472" s="144"/>
      <c r="C472" s="145"/>
      <c r="D472" s="145"/>
      <c r="E472" s="148"/>
      <c r="F472" s="147"/>
      <c r="G472" s="144"/>
      <c r="H472" s="144"/>
      <c r="I472" s="144"/>
      <c r="J472" s="145"/>
      <c r="K472" s="145"/>
      <c r="L472" s="148"/>
      <c r="M472" s="149"/>
      <c r="N472" s="144"/>
      <c r="O472" s="144"/>
      <c r="P472" s="144"/>
      <c r="Q472" s="145"/>
      <c r="R472" s="145"/>
      <c r="S472" s="148"/>
      <c r="T472" s="147"/>
      <c r="U472" s="144"/>
      <c r="V472" s="144"/>
    </row>
    <row r="473" spans="1:22" ht="14" x14ac:dyDescent="0.15">
      <c r="A473" s="144"/>
      <c r="B473" s="144"/>
      <c r="C473" s="145"/>
      <c r="D473" s="145"/>
      <c r="E473" s="148"/>
      <c r="F473" s="147"/>
      <c r="G473" s="144"/>
      <c r="H473" s="144"/>
      <c r="I473" s="144"/>
      <c r="J473" s="145"/>
      <c r="K473" s="145"/>
      <c r="L473" s="148"/>
      <c r="M473" s="149"/>
      <c r="N473" s="144"/>
      <c r="O473" s="144"/>
      <c r="P473" s="144"/>
      <c r="Q473" s="145"/>
      <c r="R473" s="145"/>
      <c r="S473" s="148"/>
      <c r="T473" s="147"/>
      <c r="U473" s="144"/>
      <c r="V473" s="144"/>
    </row>
    <row r="474" spans="1:22" ht="14" x14ac:dyDescent="0.15">
      <c r="A474" s="144"/>
      <c r="B474" s="144"/>
      <c r="C474" s="145"/>
      <c r="D474" s="145"/>
      <c r="E474" s="148"/>
      <c r="F474" s="147"/>
      <c r="G474" s="144"/>
      <c r="H474" s="144"/>
      <c r="I474" s="144"/>
      <c r="J474" s="145"/>
      <c r="K474" s="145"/>
      <c r="L474" s="148"/>
      <c r="M474" s="149"/>
      <c r="N474" s="144"/>
      <c r="O474" s="144"/>
      <c r="P474" s="144"/>
      <c r="Q474" s="145"/>
      <c r="R474" s="145"/>
      <c r="S474" s="148"/>
      <c r="T474" s="147"/>
      <c r="U474" s="144"/>
      <c r="V474" s="144"/>
    </row>
    <row r="475" spans="1:22" ht="14" x14ac:dyDescent="0.15">
      <c r="A475" s="144"/>
      <c r="B475" s="144"/>
      <c r="C475" s="145"/>
      <c r="D475" s="145"/>
      <c r="E475" s="148"/>
      <c r="F475" s="147"/>
      <c r="G475" s="144"/>
      <c r="H475" s="144"/>
      <c r="I475" s="144"/>
      <c r="J475" s="145"/>
      <c r="K475" s="145"/>
      <c r="L475" s="148"/>
      <c r="M475" s="149"/>
      <c r="N475" s="144"/>
      <c r="O475" s="144"/>
      <c r="P475" s="144"/>
      <c r="Q475" s="145"/>
      <c r="R475" s="145"/>
      <c r="S475" s="148"/>
      <c r="T475" s="147"/>
      <c r="U475" s="144"/>
      <c r="V475" s="144"/>
    </row>
    <row r="476" spans="1:22" ht="14" x14ac:dyDescent="0.15">
      <c r="A476" s="144"/>
      <c r="B476" s="144"/>
      <c r="C476" s="145"/>
      <c r="D476" s="145"/>
      <c r="E476" s="148"/>
      <c r="F476" s="147"/>
      <c r="G476" s="144"/>
      <c r="H476" s="144"/>
      <c r="I476" s="144"/>
      <c r="J476" s="145"/>
      <c r="K476" s="145"/>
      <c r="L476" s="148"/>
      <c r="M476" s="149"/>
      <c r="N476" s="144"/>
      <c r="O476" s="144"/>
      <c r="P476" s="144"/>
      <c r="Q476" s="145"/>
      <c r="R476" s="145"/>
      <c r="S476" s="148"/>
      <c r="T476" s="147"/>
      <c r="U476" s="144"/>
      <c r="V476" s="144"/>
    </row>
    <row r="477" spans="1:22" ht="14" x14ac:dyDescent="0.15">
      <c r="A477" s="144"/>
      <c r="B477" s="144"/>
      <c r="C477" s="145"/>
      <c r="D477" s="145"/>
      <c r="E477" s="148"/>
      <c r="F477" s="147"/>
      <c r="G477" s="144"/>
      <c r="H477" s="144"/>
      <c r="I477" s="144"/>
      <c r="J477" s="145"/>
      <c r="K477" s="145"/>
      <c r="L477" s="148"/>
      <c r="M477" s="149"/>
      <c r="N477" s="144"/>
      <c r="O477" s="144"/>
      <c r="P477" s="144"/>
      <c r="Q477" s="145"/>
      <c r="R477" s="145"/>
      <c r="S477" s="148"/>
      <c r="T477" s="147"/>
      <c r="U477" s="144"/>
      <c r="V477" s="144"/>
    </row>
    <row r="478" spans="1:22" ht="14" x14ac:dyDescent="0.15">
      <c r="A478" s="144"/>
      <c r="B478" s="144"/>
      <c r="C478" s="145"/>
      <c r="D478" s="145"/>
      <c r="E478" s="148"/>
      <c r="F478" s="147"/>
      <c r="G478" s="144"/>
      <c r="H478" s="144"/>
      <c r="I478" s="144"/>
      <c r="J478" s="145"/>
      <c r="K478" s="145"/>
      <c r="L478" s="148"/>
      <c r="M478" s="149"/>
      <c r="N478" s="144"/>
      <c r="O478" s="144"/>
      <c r="P478" s="144"/>
      <c r="Q478" s="145"/>
      <c r="R478" s="145"/>
      <c r="S478" s="148"/>
      <c r="T478" s="147"/>
      <c r="U478" s="144"/>
      <c r="V478" s="144"/>
    </row>
    <row r="479" spans="1:22" ht="14" x14ac:dyDescent="0.15">
      <c r="A479" s="144"/>
      <c r="B479" s="144"/>
      <c r="C479" s="145"/>
      <c r="D479" s="145"/>
      <c r="E479" s="148"/>
      <c r="F479" s="147"/>
      <c r="G479" s="144"/>
      <c r="H479" s="144"/>
      <c r="I479" s="144"/>
      <c r="J479" s="145"/>
      <c r="K479" s="145"/>
      <c r="L479" s="148"/>
      <c r="M479" s="149"/>
      <c r="N479" s="144"/>
      <c r="O479" s="144"/>
      <c r="P479" s="144"/>
      <c r="Q479" s="145"/>
      <c r="R479" s="145"/>
      <c r="S479" s="148"/>
      <c r="T479" s="147"/>
      <c r="U479" s="144"/>
      <c r="V479" s="144"/>
    </row>
    <row r="480" spans="1:22" ht="14" x14ac:dyDescent="0.15">
      <c r="A480" s="144"/>
      <c r="B480" s="144"/>
      <c r="C480" s="145"/>
      <c r="D480" s="145"/>
      <c r="E480" s="148"/>
      <c r="F480" s="147"/>
      <c r="G480" s="144"/>
      <c r="H480" s="144"/>
      <c r="I480" s="144"/>
      <c r="J480" s="145"/>
      <c r="K480" s="145"/>
      <c r="L480" s="148"/>
      <c r="M480" s="149"/>
      <c r="N480" s="144"/>
      <c r="O480" s="144"/>
      <c r="P480" s="144"/>
      <c r="Q480" s="145"/>
      <c r="R480" s="145"/>
      <c r="S480" s="148"/>
      <c r="T480" s="147"/>
      <c r="U480" s="144"/>
      <c r="V480" s="144"/>
    </row>
    <row r="481" spans="1:22" ht="14" x14ac:dyDescent="0.15">
      <c r="A481" s="144"/>
      <c r="B481" s="144"/>
      <c r="C481" s="145"/>
      <c r="D481" s="145"/>
      <c r="E481" s="148"/>
      <c r="F481" s="147"/>
      <c r="G481" s="144"/>
      <c r="H481" s="144"/>
      <c r="I481" s="144"/>
      <c r="J481" s="145"/>
      <c r="K481" s="145"/>
      <c r="L481" s="148"/>
      <c r="M481" s="149"/>
      <c r="N481" s="144"/>
      <c r="O481" s="144"/>
      <c r="P481" s="144"/>
      <c r="Q481" s="145"/>
      <c r="R481" s="145"/>
      <c r="S481" s="148"/>
      <c r="T481" s="147"/>
      <c r="U481" s="144"/>
      <c r="V481" s="144"/>
    </row>
    <row r="482" spans="1:22" ht="14" x14ac:dyDescent="0.15">
      <c r="A482" s="144"/>
      <c r="B482" s="144"/>
      <c r="C482" s="145"/>
      <c r="D482" s="145"/>
      <c r="E482" s="148"/>
      <c r="F482" s="147"/>
      <c r="G482" s="144"/>
      <c r="H482" s="144"/>
      <c r="I482" s="144"/>
      <c r="J482" s="145"/>
      <c r="K482" s="145"/>
      <c r="L482" s="148"/>
      <c r="M482" s="149"/>
      <c r="N482" s="144"/>
      <c r="O482" s="144"/>
      <c r="P482" s="144"/>
      <c r="Q482" s="145"/>
      <c r="R482" s="145"/>
      <c r="S482" s="148"/>
      <c r="T482" s="147"/>
      <c r="U482" s="144"/>
      <c r="V482" s="144"/>
    </row>
    <row r="483" spans="1:22" ht="14" x14ac:dyDescent="0.15">
      <c r="A483" s="144"/>
      <c r="B483" s="144"/>
      <c r="C483" s="145"/>
      <c r="D483" s="145"/>
      <c r="E483" s="148"/>
      <c r="F483" s="147"/>
      <c r="G483" s="144"/>
      <c r="H483" s="144"/>
      <c r="I483" s="144"/>
      <c r="J483" s="145"/>
      <c r="K483" s="145"/>
      <c r="L483" s="148"/>
      <c r="M483" s="149"/>
      <c r="N483" s="144"/>
      <c r="O483" s="144"/>
      <c r="P483" s="144"/>
      <c r="Q483" s="145"/>
      <c r="R483" s="145"/>
      <c r="S483" s="148"/>
      <c r="T483" s="147"/>
      <c r="U483" s="144"/>
      <c r="V483" s="144"/>
    </row>
    <row r="484" spans="1:22" ht="14" x14ac:dyDescent="0.15">
      <c r="A484" s="144"/>
      <c r="B484" s="144"/>
      <c r="C484" s="145"/>
      <c r="D484" s="145"/>
      <c r="E484" s="148"/>
      <c r="F484" s="147"/>
      <c r="G484" s="144"/>
      <c r="H484" s="144"/>
      <c r="I484" s="144"/>
      <c r="J484" s="145"/>
      <c r="K484" s="145"/>
      <c r="L484" s="148"/>
      <c r="M484" s="149"/>
      <c r="N484" s="144"/>
      <c r="O484" s="144"/>
      <c r="P484" s="144"/>
      <c r="Q484" s="145"/>
      <c r="R484" s="145"/>
      <c r="S484" s="148"/>
      <c r="T484" s="147"/>
      <c r="U484" s="144"/>
      <c r="V484" s="144"/>
    </row>
    <row r="485" spans="1:22" ht="14" x14ac:dyDescent="0.15">
      <c r="A485" s="144"/>
      <c r="B485" s="144"/>
      <c r="C485" s="145"/>
      <c r="D485" s="145"/>
      <c r="E485" s="148"/>
      <c r="F485" s="147"/>
      <c r="G485" s="144"/>
      <c r="H485" s="144"/>
      <c r="I485" s="144"/>
      <c r="J485" s="145"/>
      <c r="K485" s="145"/>
      <c r="L485" s="148"/>
      <c r="M485" s="149"/>
      <c r="N485" s="144"/>
      <c r="O485" s="144"/>
      <c r="P485" s="144"/>
      <c r="Q485" s="145"/>
      <c r="R485" s="145"/>
      <c r="S485" s="148"/>
      <c r="T485" s="147"/>
      <c r="U485" s="144"/>
      <c r="V485" s="144"/>
    </row>
    <row r="486" spans="1:22" ht="14" x14ac:dyDescent="0.15">
      <c r="A486" s="144"/>
      <c r="B486" s="144"/>
      <c r="C486" s="145"/>
      <c r="D486" s="145"/>
      <c r="E486" s="148"/>
      <c r="F486" s="147"/>
      <c r="G486" s="144"/>
      <c r="H486" s="144"/>
      <c r="I486" s="144"/>
      <c r="J486" s="145"/>
      <c r="K486" s="145"/>
      <c r="L486" s="148"/>
      <c r="M486" s="149"/>
      <c r="N486" s="144"/>
      <c r="O486" s="144"/>
      <c r="P486" s="144"/>
      <c r="Q486" s="145"/>
      <c r="R486" s="145"/>
      <c r="S486" s="148"/>
      <c r="T486" s="147"/>
      <c r="U486" s="144"/>
      <c r="V486" s="144"/>
    </row>
    <row r="487" spans="1:22" ht="14" x14ac:dyDescent="0.15">
      <c r="A487" s="144"/>
      <c r="B487" s="144"/>
      <c r="C487" s="145"/>
      <c r="D487" s="145"/>
      <c r="E487" s="148"/>
      <c r="F487" s="147"/>
      <c r="G487" s="144"/>
      <c r="H487" s="144"/>
      <c r="I487" s="144"/>
      <c r="J487" s="145"/>
      <c r="K487" s="145"/>
      <c r="L487" s="148"/>
      <c r="M487" s="149"/>
      <c r="N487" s="144"/>
      <c r="O487" s="144"/>
      <c r="P487" s="144"/>
      <c r="Q487" s="145"/>
      <c r="R487" s="145"/>
      <c r="S487" s="148"/>
      <c r="T487" s="147"/>
      <c r="U487" s="144"/>
      <c r="V487" s="144"/>
    </row>
    <row r="488" spans="1:22" ht="14" x14ac:dyDescent="0.15">
      <c r="A488" s="144"/>
      <c r="B488" s="144"/>
      <c r="C488" s="145"/>
      <c r="D488" s="145"/>
      <c r="E488" s="148"/>
      <c r="F488" s="147"/>
      <c r="G488" s="144"/>
      <c r="H488" s="144"/>
      <c r="I488" s="144"/>
      <c r="J488" s="145"/>
      <c r="K488" s="145"/>
      <c r="L488" s="148"/>
      <c r="M488" s="149"/>
      <c r="N488" s="144"/>
      <c r="O488" s="144"/>
      <c r="P488" s="144"/>
      <c r="Q488" s="145"/>
      <c r="R488" s="145"/>
      <c r="S488" s="148"/>
      <c r="T488" s="147"/>
      <c r="U488" s="144"/>
      <c r="V488" s="144"/>
    </row>
    <row r="489" spans="1:22" ht="14" x14ac:dyDescent="0.15">
      <c r="A489" s="144"/>
      <c r="B489" s="144"/>
      <c r="C489" s="145"/>
      <c r="D489" s="145"/>
      <c r="E489" s="148"/>
      <c r="F489" s="147"/>
      <c r="G489" s="144"/>
      <c r="H489" s="144"/>
      <c r="I489" s="144"/>
      <c r="J489" s="145"/>
      <c r="K489" s="145"/>
      <c r="L489" s="148"/>
      <c r="M489" s="149"/>
      <c r="N489" s="144"/>
      <c r="O489" s="144"/>
      <c r="P489" s="144"/>
      <c r="Q489" s="145"/>
      <c r="R489" s="145"/>
      <c r="S489" s="148"/>
      <c r="T489" s="147"/>
      <c r="U489" s="144"/>
      <c r="V489" s="144"/>
    </row>
    <row r="490" spans="1:22" ht="14" x14ac:dyDescent="0.15">
      <c r="A490" s="144"/>
      <c r="B490" s="144"/>
      <c r="C490" s="145"/>
      <c r="D490" s="145"/>
      <c r="E490" s="148"/>
      <c r="F490" s="147"/>
      <c r="G490" s="144"/>
      <c r="H490" s="144"/>
      <c r="I490" s="144"/>
      <c r="J490" s="145"/>
      <c r="K490" s="145"/>
      <c r="L490" s="148"/>
      <c r="M490" s="149"/>
      <c r="N490" s="144"/>
      <c r="O490" s="144"/>
      <c r="P490" s="144"/>
      <c r="Q490" s="145"/>
      <c r="R490" s="145"/>
      <c r="S490" s="148"/>
      <c r="T490" s="147"/>
      <c r="U490" s="144"/>
      <c r="V490" s="144"/>
    </row>
    <row r="491" spans="1:22" ht="14" x14ac:dyDescent="0.15">
      <c r="A491" s="144"/>
      <c r="B491" s="144"/>
      <c r="C491" s="145"/>
      <c r="D491" s="145"/>
      <c r="E491" s="148"/>
      <c r="F491" s="147"/>
      <c r="G491" s="144"/>
      <c r="H491" s="144"/>
      <c r="I491" s="144"/>
      <c r="J491" s="145"/>
      <c r="K491" s="145"/>
      <c r="L491" s="148"/>
      <c r="M491" s="149"/>
      <c r="N491" s="144"/>
      <c r="O491" s="144"/>
      <c r="P491" s="144"/>
      <c r="Q491" s="145"/>
      <c r="R491" s="145"/>
      <c r="S491" s="148"/>
      <c r="T491" s="147"/>
      <c r="U491" s="144"/>
      <c r="V491" s="144"/>
    </row>
    <row r="492" spans="1:22" ht="14" x14ac:dyDescent="0.15">
      <c r="A492" s="144"/>
      <c r="B492" s="144"/>
      <c r="C492" s="145"/>
      <c r="D492" s="145"/>
      <c r="E492" s="148"/>
      <c r="F492" s="147"/>
      <c r="G492" s="144"/>
      <c r="H492" s="144"/>
      <c r="I492" s="144"/>
      <c r="J492" s="145"/>
      <c r="K492" s="145"/>
      <c r="L492" s="148"/>
      <c r="M492" s="149"/>
      <c r="N492" s="144"/>
      <c r="O492" s="144"/>
      <c r="P492" s="144"/>
      <c r="Q492" s="145"/>
      <c r="R492" s="145"/>
      <c r="S492" s="148"/>
      <c r="T492" s="147"/>
      <c r="U492" s="144"/>
      <c r="V492" s="144"/>
    </row>
    <row r="493" spans="1:22" ht="14" x14ac:dyDescent="0.15">
      <c r="A493" s="144"/>
      <c r="B493" s="144"/>
      <c r="C493" s="145"/>
      <c r="D493" s="145"/>
      <c r="E493" s="148"/>
      <c r="F493" s="147"/>
      <c r="G493" s="144"/>
      <c r="H493" s="144"/>
      <c r="I493" s="144"/>
      <c r="J493" s="145"/>
      <c r="K493" s="145"/>
      <c r="L493" s="148"/>
      <c r="M493" s="149"/>
      <c r="N493" s="144"/>
      <c r="O493" s="144"/>
      <c r="P493" s="144"/>
      <c r="Q493" s="145"/>
      <c r="R493" s="145"/>
      <c r="S493" s="148"/>
      <c r="T493" s="147"/>
      <c r="U493" s="144"/>
      <c r="V493" s="144"/>
    </row>
    <row r="494" spans="1:22" ht="14" x14ac:dyDescent="0.15">
      <c r="A494" s="144"/>
      <c r="B494" s="144"/>
      <c r="C494" s="145"/>
      <c r="D494" s="145"/>
      <c r="E494" s="148"/>
      <c r="F494" s="147"/>
      <c r="G494" s="144"/>
      <c r="H494" s="144"/>
      <c r="I494" s="144"/>
      <c r="J494" s="145"/>
      <c r="K494" s="145"/>
      <c r="L494" s="148"/>
      <c r="M494" s="149"/>
      <c r="N494" s="144"/>
      <c r="O494" s="144"/>
      <c r="P494" s="144"/>
      <c r="Q494" s="145"/>
      <c r="R494" s="145"/>
      <c r="S494" s="148"/>
      <c r="T494" s="147"/>
      <c r="U494" s="144"/>
      <c r="V494" s="144"/>
    </row>
    <row r="495" spans="1:22" ht="14" x14ac:dyDescent="0.15">
      <c r="A495" s="144"/>
      <c r="B495" s="144"/>
      <c r="C495" s="145"/>
      <c r="D495" s="145"/>
      <c r="E495" s="148"/>
      <c r="F495" s="147"/>
      <c r="G495" s="144"/>
      <c r="H495" s="144"/>
      <c r="I495" s="144"/>
      <c r="J495" s="145"/>
      <c r="K495" s="145"/>
      <c r="L495" s="148"/>
      <c r="M495" s="149"/>
      <c r="N495" s="144"/>
      <c r="O495" s="144"/>
      <c r="P495" s="144"/>
      <c r="Q495" s="145"/>
      <c r="R495" s="145"/>
      <c r="S495" s="148"/>
      <c r="T495" s="147"/>
      <c r="U495" s="144"/>
      <c r="V495" s="144"/>
    </row>
    <row r="496" spans="1:22" ht="14" x14ac:dyDescent="0.15">
      <c r="A496" s="144"/>
      <c r="B496" s="144"/>
      <c r="C496" s="145"/>
      <c r="D496" s="145"/>
      <c r="E496" s="148"/>
      <c r="F496" s="147"/>
      <c r="G496" s="144"/>
      <c r="H496" s="144"/>
      <c r="I496" s="144"/>
      <c r="J496" s="145"/>
      <c r="K496" s="145"/>
      <c r="L496" s="148"/>
      <c r="M496" s="149"/>
      <c r="N496" s="144"/>
      <c r="O496" s="144"/>
      <c r="P496" s="144"/>
      <c r="Q496" s="145"/>
      <c r="R496" s="145"/>
      <c r="S496" s="148"/>
      <c r="T496" s="147"/>
      <c r="U496" s="144"/>
      <c r="V496" s="144"/>
    </row>
    <row r="497" spans="1:22" ht="14" x14ac:dyDescent="0.15">
      <c r="A497" s="144"/>
      <c r="B497" s="144"/>
      <c r="C497" s="145"/>
      <c r="D497" s="145"/>
      <c r="E497" s="148"/>
      <c r="F497" s="147"/>
      <c r="G497" s="144"/>
      <c r="H497" s="144"/>
      <c r="I497" s="144"/>
      <c r="J497" s="145"/>
      <c r="K497" s="145"/>
      <c r="L497" s="148"/>
      <c r="M497" s="149"/>
      <c r="N497" s="144"/>
      <c r="O497" s="144"/>
      <c r="P497" s="144"/>
      <c r="Q497" s="145"/>
      <c r="R497" s="145"/>
      <c r="S497" s="148"/>
      <c r="T497" s="147"/>
      <c r="U497" s="144"/>
      <c r="V497" s="144"/>
    </row>
    <row r="498" spans="1:22" ht="14" x14ac:dyDescent="0.15">
      <c r="A498" s="144"/>
      <c r="B498" s="144"/>
      <c r="C498" s="145"/>
      <c r="D498" s="145"/>
      <c r="E498" s="148"/>
      <c r="F498" s="147"/>
      <c r="G498" s="144"/>
      <c r="H498" s="144"/>
      <c r="I498" s="144"/>
      <c r="J498" s="145"/>
      <c r="K498" s="145"/>
      <c r="L498" s="148"/>
      <c r="M498" s="149"/>
      <c r="N498" s="144"/>
      <c r="O498" s="144"/>
      <c r="P498" s="144"/>
      <c r="Q498" s="145"/>
      <c r="R498" s="145"/>
      <c r="S498" s="148"/>
      <c r="T498" s="147"/>
      <c r="U498" s="144"/>
      <c r="V498" s="144"/>
    </row>
    <row r="499" spans="1:22" ht="14" x14ac:dyDescent="0.15">
      <c r="A499" s="144"/>
      <c r="B499" s="144"/>
      <c r="C499" s="145"/>
      <c r="D499" s="145"/>
      <c r="E499" s="148"/>
      <c r="F499" s="147"/>
      <c r="G499" s="144"/>
      <c r="H499" s="144"/>
      <c r="I499" s="144"/>
      <c r="J499" s="145"/>
      <c r="K499" s="145"/>
      <c r="L499" s="148"/>
      <c r="M499" s="149"/>
      <c r="N499" s="144"/>
      <c r="O499" s="144"/>
      <c r="P499" s="144"/>
      <c r="Q499" s="145"/>
      <c r="R499" s="145"/>
      <c r="S499" s="148"/>
      <c r="T499" s="147"/>
      <c r="U499" s="144"/>
      <c r="V499" s="144"/>
    </row>
    <row r="500" spans="1:22" ht="14" x14ac:dyDescent="0.15">
      <c r="A500" s="144"/>
      <c r="B500" s="144"/>
      <c r="C500" s="145"/>
      <c r="D500" s="145"/>
      <c r="E500" s="148"/>
      <c r="F500" s="147"/>
      <c r="G500" s="144"/>
      <c r="H500" s="144"/>
      <c r="I500" s="144"/>
      <c r="J500" s="145"/>
      <c r="K500" s="145"/>
      <c r="L500" s="148"/>
      <c r="M500" s="149"/>
      <c r="N500" s="144"/>
      <c r="O500" s="144"/>
      <c r="P500" s="144"/>
      <c r="Q500" s="145"/>
      <c r="R500" s="145"/>
      <c r="S500" s="148"/>
      <c r="T500" s="147"/>
      <c r="U500" s="144"/>
      <c r="V500" s="144"/>
    </row>
    <row r="501" spans="1:22" ht="14" x14ac:dyDescent="0.15">
      <c r="A501" s="144"/>
      <c r="B501" s="144"/>
      <c r="C501" s="145"/>
      <c r="D501" s="145"/>
      <c r="E501" s="148"/>
      <c r="F501" s="147"/>
      <c r="G501" s="144"/>
      <c r="H501" s="144"/>
      <c r="I501" s="144"/>
      <c r="J501" s="145"/>
      <c r="K501" s="145"/>
      <c r="L501" s="148"/>
      <c r="M501" s="149"/>
      <c r="N501" s="144"/>
      <c r="O501" s="144"/>
      <c r="P501" s="144"/>
      <c r="Q501" s="145"/>
      <c r="R501" s="145"/>
      <c r="S501" s="148"/>
      <c r="T501" s="147"/>
      <c r="U501" s="144"/>
      <c r="V501" s="144"/>
    </row>
    <row r="502" spans="1:22" ht="14" x14ac:dyDescent="0.15">
      <c r="A502" s="144"/>
      <c r="B502" s="144"/>
      <c r="C502" s="145"/>
      <c r="D502" s="145"/>
      <c r="E502" s="148"/>
      <c r="F502" s="147"/>
      <c r="G502" s="144"/>
      <c r="H502" s="144"/>
      <c r="I502" s="144"/>
      <c r="J502" s="145"/>
      <c r="K502" s="145"/>
      <c r="L502" s="148"/>
      <c r="M502" s="149"/>
      <c r="N502" s="144"/>
      <c r="O502" s="144"/>
      <c r="P502" s="144"/>
      <c r="Q502" s="145"/>
      <c r="R502" s="145"/>
      <c r="S502" s="148"/>
      <c r="T502" s="147"/>
      <c r="U502" s="144"/>
      <c r="V502" s="144"/>
    </row>
    <row r="503" spans="1:22" ht="14" x14ac:dyDescent="0.15">
      <c r="A503" s="144"/>
      <c r="B503" s="144"/>
      <c r="C503" s="145"/>
      <c r="D503" s="145"/>
      <c r="E503" s="148"/>
      <c r="F503" s="147"/>
      <c r="G503" s="144"/>
      <c r="H503" s="144"/>
      <c r="I503" s="144"/>
      <c r="J503" s="145"/>
      <c r="K503" s="145"/>
      <c r="L503" s="148"/>
      <c r="M503" s="149"/>
      <c r="N503" s="144"/>
      <c r="O503" s="144"/>
      <c r="P503" s="144"/>
      <c r="Q503" s="145"/>
      <c r="R503" s="145"/>
      <c r="S503" s="148"/>
      <c r="T503" s="147"/>
      <c r="U503" s="144"/>
      <c r="V503" s="144"/>
    </row>
    <row r="504" spans="1:22" ht="14" x14ac:dyDescent="0.15">
      <c r="A504" s="144"/>
      <c r="B504" s="144"/>
      <c r="C504" s="145"/>
      <c r="D504" s="145"/>
      <c r="E504" s="148"/>
      <c r="F504" s="147"/>
      <c r="G504" s="144"/>
      <c r="H504" s="144"/>
      <c r="I504" s="144"/>
      <c r="J504" s="145"/>
      <c r="K504" s="145"/>
      <c r="L504" s="148"/>
      <c r="M504" s="149"/>
      <c r="N504" s="144"/>
      <c r="O504" s="144"/>
      <c r="P504" s="144"/>
      <c r="Q504" s="145"/>
      <c r="R504" s="145"/>
      <c r="S504" s="148"/>
      <c r="T504" s="147"/>
      <c r="U504" s="144"/>
      <c r="V504" s="144"/>
    </row>
    <row r="505" spans="1:22" ht="14" x14ac:dyDescent="0.15">
      <c r="A505" s="144"/>
      <c r="B505" s="144"/>
      <c r="C505" s="145"/>
      <c r="D505" s="145"/>
      <c r="E505" s="148"/>
      <c r="F505" s="147"/>
      <c r="G505" s="144"/>
      <c r="H505" s="144"/>
      <c r="I505" s="144"/>
      <c r="J505" s="145"/>
      <c r="K505" s="145"/>
      <c r="L505" s="148"/>
      <c r="M505" s="149"/>
      <c r="N505" s="144"/>
      <c r="O505" s="144"/>
      <c r="P505" s="144"/>
      <c r="Q505" s="145"/>
      <c r="R505" s="145"/>
      <c r="S505" s="148"/>
      <c r="T505" s="147"/>
      <c r="U505" s="144"/>
      <c r="V505" s="144"/>
    </row>
    <row r="506" spans="1:22" ht="14" x14ac:dyDescent="0.15">
      <c r="A506" s="144"/>
      <c r="B506" s="144"/>
      <c r="C506" s="145"/>
      <c r="D506" s="145"/>
      <c r="E506" s="148"/>
      <c r="F506" s="147"/>
      <c r="G506" s="144"/>
      <c r="H506" s="144"/>
      <c r="I506" s="144"/>
      <c r="J506" s="145"/>
      <c r="K506" s="145"/>
      <c r="L506" s="148"/>
      <c r="M506" s="149"/>
      <c r="N506" s="144"/>
      <c r="O506" s="144"/>
      <c r="P506" s="144"/>
      <c r="Q506" s="145"/>
      <c r="R506" s="145"/>
      <c r="S506" s="148"/>
      <c r="T506" s="147"/>
      <c r="U506" s="144"/>
      <c r="V506" s="144"/>
    </row>
    <row r="507" spans="1:22" ht="14" x14ac:dyDescent="0.15">
      <c r="A507" s="144"/>
      <c r="B507" s="144"/>
      <c r="C507" s="145"/>
      <c r="D507" s="145"/>
      <c r="E507" s="148"/>
      <c r="F507" s="147"/>
      <c r="G507" s="144"/>
      <c r="H507" s="144"/>
      <c r="I507" s="144"/>
      <c r="J507" s="145"/>
      <c r="K507" s="145"/>
      <c r="L507" s="148"/>
      <c r="M507" s="149"/>
      <c r="N507" s="144"/>
      <c r="O507" s="144"/>
      <c r="P507" s="144"/>
      <c r="Q507" s="145"/>
      <c r="R507" s="145"/>
      <c r="S507" s="148"/>
      <c r="T507" s="147"/>
      <c r="U507" s="144"/>
      <c r="V507" s="144"/>
    </row>
    <row r="508" spans="1:22" ht="14" x14ac:dyDescent="0.15">
      <c r="A508" s="144"/>
      <c r="B508" s="144"/>
      <c r="C508" s="145"/>
      <c r="D508" s="145"/>
      <c r="E508" s="148"/>
      <c r="F508" s="147"/>
      <c r="G508" s="144"/>
      <c r="H508" s="144"/>
      <c r="I508" s="144"/>
      <c r="J508" s="145"/>
      <c r="K508" s="145"/>
      <c r="L508" s="148"/>
      <c r="M508" s="149"/>
      <c r="N508" s="144"/>
      <c r="O508" s="144"/>
      <c r="P508" s="144"/>
      <c r="Q508" s="145"/>
      <c r="R508" s="145"/>
      <c r="S508" s="148"/>
      <c r="T508" s="147"/>
      <c r="U508" s="144"/>
      <c r="V508" s="144"/>
    </row>
    <row r="509" spans="1:22" ht="14" x14ac:dyDescent="0.15">
      <c r="A509" s="144"/>
      <c r="B509" s="144"/>
      <c r="C509" s="145"/>
      <c r="D509" s="145"/>
      <c r="E509" s="148"/>
      <c r="F509" s="147"/>
      <c r="G509" s="144"/>
      <c r="H509" s="144"/>
      <c r="I509" s="144"/>
      <c r="J509" s="145"/>
      <c r="K509" s="145"/>
      <c r="L509" s="148"/>
      <c r="M509" s="149"/>
      <c r="N509" s="144"/>
      <c r="O509" s="144"/>
      <c r="P509" s="144"/>
      <c r="Q509" s="145"/>
      <c r="R509" s="145"/>
      <c r="S509" s="148"/>
      <c r="T509" s="147"/>
      <c r="U509" s="144"/>
      <c r="V509" s="144"/>
    </row>
    <row r="510" spans="1:22" ht="14" x14ac:dyDescent="0.15">
      <c r="A510" s="144"/>
      <c r="B510" s="144"/>
      <c r="C510" s="145"/>
      <c r="D510" s="145"/>
      <c r="E510" s="148"/>
      <c r="F510" s="147"/>
      <c r="G510" s="144"/>
      <c r="H510" s="144"/>
      <c r="I510" s="144"/>
      <c r="J510" s="145"/>
      <c r="K510" s="145"/>
      <c r="L510" s="148"/>
      <c r="M510" s="149"/>
      <c r="N510" s="144"/>
      <c r="O510" s="144"/>
      <c r="P510" s="144"/>
      <c r="Q510" s="145"/>
      <c r="R510" s="145"/>
      <c r="S510" s="148"/>
      <c r="T510" s="147"/>
      <c r="U510" s="144"/>
      <c r="V510" s="144"/>
    </row>
    <row r="511" spans="1:22" ht="14" x14ac:dyDescent="0.15">
      <c r="A511" s="144"/>
      <c r="B511" s="144"/>
      <c r="C511" s="145"/>
      <c r="D511" s="145"/>
      <c r="E511" s="148"/>
      <c r="F511" s="147"/>
      <c r="G511" s="144"/>
      <c r="H511" s="144"/>
      <c r="I511" s="144"/>
      <c r="J511" s="145"/>
      <c r="K511" s="145"/>
      <c r="L511" s="148"/>
      <c r="M511" s="149"/>
      <c r="N511" s="144"/>
      <c r="O511" s="144"/>
      <c r="P511" s="144"/>
      <c r="Q511" s="145"/>
      <c r="R511" s="145"/>
      <c r="S511" s="148"/>
      <c r="T511" s="147"/>
      <c r="U511" s="144"/>
      <c r="V511" s="144"/>
    </row>
    <row r="512" spans="1:22" ht="14" x14ac:dyDescent="0.15">
      <c r="A512" s="144"/>
      <c r="B512" s="144"/>
      <c r="C512" s="145"/>
      <c r="D512" s="145"/>
      <c r="E512" s="148"/>
      <c r="F512" s="147"/>
      <c r="G512" s="144"/>
      <c r="H512" s="144"/>
      <c r="I512" s="144"/>
      <c r="J512" s="145"/>
      <c r="K512" s="145"/>
      <c r="L512" s="148"/>
      <c r="M512" s="149"/>
      <c r="N512" s="144"/>
      <c r="O512" s="144"/>
      <c r="P512" s="144"/>
      <c r="Q512" s="145"/>
      <c r="R512" s="145"/>
      <c r="S512" s="148"/>
      <c r="T512" s="147"/>
      <c r="U512" s="144"/>
      <c r="V512" s="144"/>
    </row>
    <row r="513" spans="1:22" ht="14" x14ac:dyDescent="0.15">
      <c r="A513" s="144"/>
      <c r="B513" s="144"/>
      <c r="C513" s="145"/>
      <c r="D513" s="145"/>
      <c r="E513" s="148"/>
      <c r="F513" s="147"/>
      <c r="G513" s="144"/>
      <c r="H513" s="144"/>
      <c r="I513" s="144"/>
      <c r="J513" s="145"/>
      <c r="K513" s="145"/>
      <c r="L513" s="148"/>
      <c r="M513" s="149"/>
      <c r="N513" s="144"/>
      <c r="O513" s="144"/>
      <c r="P513" s="144"/>
      <c r="Q513" s="145"/>
      <c r="R513" s="145"/>
      <c r="S513" s="148"/>
      <c r="T513" s="147"/>
      <c r="U513" s="144"/>
      <c r="V513" s="144"/>
    </row>
    <row r="514" spans="1:22" ht="14" x14ac:dyDescent="0.15">
      <c r="A514" s="144"/>
      <c r="B514" s="144"/>
      <c r="C514" s="145"/>
      <c r="D514" s="145"/>
      <c r="E514" s="148"/>
      <c r="F514" s="147"/>
      <c r="G514" s="144"/>
      <c r="H514" s="144"/>
      <c r="I514" s="144"/>
      <c r="J514" s="145"/>
      <c r="K514" s="145"/>
      <c r="L514" s="148"/>
      <c r="M514" s="149"/>
      <c r="N514" s="144"/>
      <c r="O514" s="144"/>
      <c r="P514" s="144"/>
      <c r="Q514" s="145"/>
      <c r="R514" s="145"/>
      <c r="S514" s="148"/>
      <c r="T514" s="147"/>
      <c r="U514" s="144"/>
      <c r="V514" s="144"/>
    </row>
    <row r="515" spans="1:22" ht="14" x14ac:dyDescent="0.15">
      <c r="A515" s="144"/>
      <c r="B515" s="144"/>
      <c r="C515" s="145"/>
      <c r="D515" s="145"/>
      <c r="E515" s="148"/>
      <c r="F515" s="147"/>
      <c r="G515" s="144"/>
      <c r="H515" s="144"/>
      <c r="I515" s="144"/>
      <c r="J515" s="145"/>
      <c r="K515" s="145"/>
      <c r="L515" s="148"/>
      <c r="M515" s="149"/>
      <c r="N515" s="144"/>
      <c r="O515" s="144"/>
      <c r="P515" s="144"/>
      <c r="Q515" s="145"/>
      <c r="R515" s="145"/>
      <c r="S515" s="148"/>
      <c r="T515" s="147"/>
      <c r="U515" s="144"/>
      <c r="V515" s="144"/>
    </row>
    <row r="516" spans="1:22" ht="14" x14ac:dyDescent="0.15">
      <c r="A516" s="144"/>
      <c r="B516" s="144"/>
      <c r="C516" s="145"/>
      <c r="D516" s="145"/>
      <c r="E516" s="148"/>
      <c r="F516" s="147"/>
      <c r="G516" s="144"/>
      <c r="H516" s="144"/>
      <c r="I516" s="144"/>
      <c r="J516" s="145"/>
      <c r="K516" s="145"/>
      <c r="L516" s="148"/>
      <c r="M516" s="149"/>
      <c r="N516" s="144"/>
      <c r="O516" s="144"/>
      <c r="P516" s="144"/>
      <c r="Q516" s="145"/>
      <c r="R516" s="145"/>
      <c r="S516" s="148"/>
      <c r="T516" s="147"/>
      <c r="U516" s="144"/>
      <c r="V516" s="144"/>
    </row>
    <row r="517" spans="1:22" ht="14" x14ac:dyDescent="0.15">
      <c r="A517" s="144"/>
      <c r="B517" s="144"/>
      <c r="C517" s="145"/>
      <c r="D517" s="145"/>
      <c r="E517" s="148"/>
      <c r="F517" s="147"/>
      <c r="G517" s="144"/>
      <c r="H517" s="144"/>
      <c r="I517" s="144"/>
      <c r="J517" s="145"/>
      <c r="K517" s="145"/>
      <c r="L517" s="148"/>
      <c r="M517" s="149"/>
      <c r="N517" s="144"/>
      <c r="O517" s="144"/>
      <c r="P517" s="144"/>
      <c r="Q517" s="145"/>
      <c r="R517" s="145"/>
      <c r="S517" s="148"/>
      <c r="T517" s="147"/>
      <c r="U517" s="144"/>
      <c r="V517" s="144"/>
    </row>
    <row r="518" spans="1:22" ht="14" x14ac:dyDescent="0.15">
      <c r="A518" s="144"/>
      <c r="B518" s="144"/>
      <c r="C518" s="145"/>
      <c r="D518" s="145"/>
      <c r="E518" s="148"/>
      <c r="F518" s="147"/>
      <c r="G518" s="144"/>
      <c r="H518" s="144"/>
      <c r="I518" s="144"/>
      <c r="J518" s="145"/>
      <c r="K518" s="145"/>
      <c r="L518" s="148"/>
      <c r="M518" s="149"/>
      <c r="N518" s="144"/>
      <c r="O518" s="144"/>
      <c r="P518" s="144"/>
      <c r="Q518" s="145"/>
      <c r="R518" s="145"/>
      <c r="S518" s="148"/>
      <c r="T518" s="147"/>
      <c r="U518" s="144"/>
      <c r="V518" s="144"/>
    </row>
    <row r="519" spans="1:22" ht="14" x14ac:dyDescent="0.15">
      <c r="A519" s="144"/>
      <c r="B519" s="144"/>
      <c r="C519" s="145"/>
      <c r="D519" s="145"/>
      <c r="E519" s="148"/>
      <c r="F519" s="147"/>
      <c r="G519" s="144"/>
      <c r="H519" s="144"/>
      <c r="I519" s="144"/>
      <c r="J519" s="145"/>
      <c r="K519" s="145"/>
      <c r="L519" s="148"/>
      <c r="M519" s="149"/>
      <c r="N519" s="144"/>
      <c r="O519" s="144"/>
      <c r="P519" s="144"/>
      <c r="Q519" s="145"/>
      <c r="R519" s="145"/>
      <c r="S519" s="148"/>
      <c r="T519" s="147"/>
      <c r="U519" s="144"/>
      <c r="V519" s="144"/>
    </row>
    <row r="520" spans="1:22" ht="14" x14ac:dyDescent="0.15">
      <c r="A520" s="144"/>
      <c r="B520" s="144"/>
      <c r="C520" s="145"/>
      <c r="D520" s="145"/>
      <c r="E520" s="148"/>
      <c r="F520" s="147"/>
      <c r="G520" s="144"/>
      <c r="H520" s="144"/>
      <c r="I520" s="144"/>
      <c r="J520" s="145"/>
      <c r="K520" s="145"/>
      <c r="L520" s="148"/>
      <c r="M520" s="149"/>
      <c r="N520" s="144"/>
      <c r="O520" s="144"/>
      <c r="P520" s="144"/>
      <c r="Q520" s="145"/>
      <c r="R520" s="145"/>
      <c r="S520" s="148"/>
      <c r="T520" s="147"/>
      <c r="U520" s="144"/>
      <c r="V520" s="144"/>
    </row>
    <row r="521" spans="1:22" ht="14" x14ac:dyDescent="0.15">
      <c r="A521" s="144"/>
      <c r="B521" s="144"/>
      <c r="C521" s="145"/>
      <c r="D521" s="145"/>
      <c r="E521" s="148"/>
      <c r="F521" s="147"/>
      <c r="G521" s="144"/>
      <c r="H521" s="144"/>
      <c r="I521" s="144"/>
      <c r="J521" s="145"/>
      <c r="K521" s="145"/>
      <c r="L521" s="148"/>
      <c r="M521" s="149"/>
      <c r="N521" s="144"/>
      <c r="O521" s="144"/>
      <c r="P521" s="144"/>
      <c r="Q521" s="145"/>
      <c r="R521" s="145"/>
      <c r="S521" s="148"/>
      <c r="T521" s="147"/>
      <c r="U521" s="144"/>
      <c r="V521" s="144"/>
    </row>
    <row r="522" spans="1:22" ht="14" x14ac:dyDescent="0.15">
      <c r="A522" s="144"/>
      <c r="B522" s="144"/>
      <c r="C522" s="145"/>
      <c r="D522" s="145"/>
      <c r="E522" s="148"/>
      <c r="F522" s="147"/>
      <c r="G522" s="144"/>
      <c r="H522" s="144"/>
      <c r="I522" s="144"/>
      <c r="J522" s="145"/>
      <c r="K522" s="145"/>
      <c r="L522" s="148"/>
      <c r="M522" s="149"/>
      <c r="N522" s="144"/>
      <c r="O522" s="144"/>
      <c r="P522" s="144"/>
      <c r="Q522" s="145"/>
      <c r="R522" s="145"/>
      <c r="S522" s="148"/>
      <c r="T522" s="147"/>
      <c r="U522" s="144"/>
      <c r="V522" s="144"/>
    </row>
    <row r="523" spans="1:22" ht="14" x14ac:dyDescent="0.15">
      <c r="A523" s="144"/>
      <c r="B523" s="144"/>
      <c r="C523" s="145"/>
      <c r="D523" s="145"/>
      <c r="E523" s="148"/>
      <c r="F523" s="147"/>
      <c r="G523" s="144"/>
      <c r="H523" s="144"/>
      <c r="I523" s="144"/>
      <c r="J523" s="145"/>
      <c r="K523" s="145"/>
      <c r="L523" s="148"/>
      <c r="M523" s="149"/>
      <c r="N523" s="144"/>
      <c r="O523" s="144"/>
      <c r="P523" s="144"/>
      <c r="Q523" s="145"/>
      <c r="R523" s="145"/>
      <c r="S523" s="148"/>
      <c r="T523" s="147"/>
      <c r="U523" s="144"/>
      <c r="V523" s="144"/>
    </row>
    <row r="524" spans="1:22" ht="14" x14ac:dyDescent="0.15">
      <c r="A524" s="144"/>
      <c r="B524" s="144"/>
      <c r="C524" s="145"/>
      <c r="D524" s="145"/>
      <c r="E524" s="148"/>
      <c r="F524" s="147"/>
      <c r="G524" s="144"/>
      <c r="H524" s="144"/>
      <c r="I524" s="144"/>
      <c r="J524" s="145"/>
      <c r="K524" s="145"/>
      <c r="L524" s="148"/>
      <c r="M524" s="149"/>
      <c r="N524" s="144"/>
      <c r="O524" s="144"/>
      <c r="P524" s="144"/>
      <c r="Q524" s="145"/>
      <c r="R524" s="145"/>
      <c r="S524" s="148"/>
      <c r="T524" s="147"/>
      <c r="U524" s="144"/>
      <c r="V524" s="144"/>
    </row>
    <row r="525" spans="1:22" ht="14" x14ac:dyDescent="0.15">
      <c r="A525" s="144"/>
      <c r="B525" s="144"/>
      <c r="C525" s="145"/>
      <c r="D525" s="145"/>
      <c r="E525" s="148"/>
      <c r="F525" s="147"/>
      <c r="G525" s="144"/>
      <c r="H525" s="144"/>
      <c r="I525" s="144"/>
      <c r="J525" s="145"/>
      <c r="K525" s="145"/>
      <c r="L525" s="148"/>
      <c r="M525" s="149"/>
      <c r="N525" s="144"/>
      <c r="O525" s="144"/>
      <c r="P525" s="144"/>
      <c r="Q525" s="145"/>
      <c r="R525" s="145"/>
      <c r="S525" s="148"/>
      <c r="T525" s="147"/>
      <c r="U525" s="144"/>
      <c r="V525" s="144"/>
    </row>
    <row r="526" spans="1:22" ht="14" x14ac:dyDescent="0.15">
      <c r="A526" s="144"/>
      <c r="B526" s="144"/>
      <c r="C526" s="145"/>
      <c r="D526" s="145"/>
      <c r="E526" s="148"/>
      <c r="F526" s="147"/>
      <c r="G526" s="144"/>
      <c r="H526" s="144"/>
      <c r="I526" s="144"/>
      <c r="J526" s="145"/>
      <c r="K526" s="145"/>
      <c r="L526" s="148"/>
      <c r="M526" s="149"/>
      <c r="N526" s="144"/>
      <c r="O526" s="144"/>
      <c r="P526" s="144"/>
      <c r="Q526" s="145"/>
      <c r="R526" s="145"/>
      <c r="S526" s="148"/>
      <c r="T526" s="147"/>
      <c r="U526" s="144"/>
      <c r="V526" s="144"/>
    </row>
    <row r="527" spans="1:22" ht="14" x14ac:dyDescent="0.15">
      <c r="A527" s="144"/>
      <c r="B527" s="144"/>
      <c r="C527" s="145"/>
      <c r="D527" s="145"/>
      <c r="E527" s="148"/>
      <c r="F527" s="147"/>
      <c r="G527" s="144"/>
      <c r="H527" s="144"/>
      <c r="I527" s="144"/>
      <c r="J527" s="145"/>
      <c r="K527" s="145"/>
      <c r="L527" s="148"/>
      <c r="M527" s="149"/>
      <c r="N527" s="144"/>
      <c r="O527" s="144"/>
      <c r="P527" s="144"/>
      <c r="Q527" s="145"/>
      <c r="R527" s="145"/>
      <c r="S527" s="148"/>
      <c r="T527" s="147"/>
      <c r="U527" s="144"/>
      <c r="V527" s="144"/>
    </row>
    <row r="528" spans="1:22" ht="14" x14ac:dyDescent="0.15">
      <c r="A528" s="144"/>
      <c r="B528" s="144"/>
      <c r="C528" s="145"/>
      <c r="D528" s="145"/>
      <c r="E528" s="148"/>
      <c r="F528" s="147"/>
      <c r="G528" s="144"/>
      <c r="H528" s="144"/>
      <c r="I528" s="144"/>
      <c r="J528" s="145"/>
      <c r="K528" s="145"/>
      <c r="L528" s="148"/>
      <c r="M528" s="149"/>
      <c r="N528" s="144"/>
      <c r="O528" s="144"/>
      <c r="P528" s="144"/>
      <c r="Q528" s="145"/>
      <c r="R528" s="145"/>
      <c r="S528" s="148"/>
      <c r="T528" s="147"/>
      <c r="U528" s="144"/>
      <c r="V528" s="144"/>
    </row>
    <row r="529" spans="1:22" ht="14" x14ac:dyDescent="0.15">
      <c r="A529" s="144"/>
      <c r="B529" s="144"/>
      <c r="C529" s="145"/>
      <c r="D529" s="145"/>
      <c r="E529" s="148"/>
      <c r="F529" s="147"/>
      <c r="G529" s="144"/>
      <c r="H529" s="144"/>
      <c r="I529" s="144"/>
      <c r="J529" s="145"/>
      <c r="K529" s="145"/>
      <c r="L529" s="148"/>
      <c r="M529" s="149"/>
      <c r="N529" s="144"/>
      <c r="O529" s="144"/>
      <c r="P529" s="144"/>
      <c r="Q529" s="145"/>
      <c r="R529" s="145"/>
      <c r="S529" s="148"/>
      <c r="T529" s="147"/>
      <c r="U529" s="144"/>
      <c r="V529" s="144"/>
    </row>
    <row r="530" spans="1:22" ht="14" x14ac:dyDescent="0.15">
      <c r="A530" s="144"/>
      <c r="B530" s="144"/>
      <c r="C530" s="145"/>
      <c r="D530" s="145"/>
      <c r="E530" s="148"/>
      <c r="F530" s="147"/>
      <c r="G530" s="144"/>
      <c r="H530" s="144"/>
      <c r="I530" s="144"/>
      <c r="J530" s="145"/>
      <c r="K530" s="145"/>
      <c r="L530" s="148"/>
      <c r="M530" s="149"/>
      <c r="N530" s="144"/>
      <c r="O530" s="144"/>
      <c r="P530" s="144"/>
      <c r="Q530" s="145"/>
      <c r="R530" s="145"/>
      <c r="S530" s="148"/>
      <c r="T530" s="147"/>
      <c r="U530" s="144"/>
      <c r="V530" s="144"/>
    </row>
    <row r="531" spans="1:22" ht="14" x14ac:dyDescent="0.15">
      <c r="A531" s="144"/>
      <c r="B531" s="144"/>
      <c r="C531" s="145"/>
      <c r="D531" s="145"/>
      <c r="E531" s="148"/>
      <c r="F531" s="147"/>
      <c r="G531" s="144"/>
      <c r="H531" s="144"/>
      <c r="I531" s="144"/>
      <c r="J531" s="145"/>
      <c r="K531" s="145"/>
      <c r="L531" s="148"/>
      <c r="M531" s="149"/>
      <c r="N531" s="144"/>
      <c r="O531" s="144"/>
      <c r="P531" s="144"/>
      <c r="Q531" s="145"/>
      <c r="R531" s="145"/>
      <c r="S531" s="148"/>
      <c r="T531" s="147"/>
      <c r="U531" s="144"/>
      <c r="V531" s="144"/>
    </row>
    <row r="532" spans="1:22" ht="14" x14ac:dyDescent="0.15">
      <c r="A532" s="144"/>
      <c r="B532" s="144"/>
      <c r="C532" s="145"/>
      <c r="D532" s="145"/>
      <c r="E532" s="148"/>
      <c r="F532" s="147"/>
      <c r="G532" s="144"/>
      <c r="H532" s="144"/>
      <c r="I532" s="144"/>
      <c r="J532" s="145"/>
      <c r="K532" s="145"/>
      <c r="L532" s="148"/>
      <c r="M532" s="149"/>
      <c r="N532" s="144"/>
      <c r="O532" s="144"/>
      <c r="P532" s="144"/>
      <c r="Q532" s="145"/>
      <c r="R532" s="145"/>
      <c r="S532" s="148"/>
      <c r="T532" s="147"/>
      <c r="U532" s="144"/>
      <c r="V532" s="144"/>
    </row>
    <row r="533" spans="1:22" ht="14" x14ac:dyDescent="0.15">
      <c r="A533" s="144"/>
      <c r="B533" s="144"/>
      <c r="C533" s="145"/>
      <c r="D533" s="145"/>
      <c r="E533" s="148"/>
      <c r="F533" s="147"/>
      <c r="G533" s="144"/>
      <c r="H533" s="144"/>
      <c r="I533" s="144"/>
      <c r="J533" s="145"/>
      <c r="K533" s="145"/>
      <c r="L533" s="148"/>
      <c r="M533" s="149"/>
      <c r="N533" s="144"/>
      <c r="O533" s="144"/>
      <c r="P533" s="144"/>
      <c r="Q533" s="145"/>
      <c r="R533" s="145"/>
      <c r="S533" s="148"/>
      <c r="T533" s="147"/>
      <c r="U533" s="144"/>
      <c r="V533" s="144"/>
    </row>
    <row r="534" spans="1:22" ht="14" x14ac:dyDescent="0.15">
      <c r="A534" s="144"/>
      <c r="B534" s="144"/>
      <c r="C534" s="145"/>
      <c r="D534" s="145"/>
      <c r="E534" s="148"/>
      <c r="F534" s="147"/>
      <c r="G534" s="144"/>
      <c r="H534" s="144"/>
      <c r="I534" s="144"/>
      <c r="J534" s="145"/>
      <c r="K534" s="145"/>
      <c r="L534" s="148"/>
      <c r="M534" s="149"/>
      <c r="N534" s="144"/>
      <c r="O534" s="144"/>
      <c r="P534" s="144"/>
      <c r="Q534" s="145"/>
      <c r="R534" s="145"/>
      <c r="S534" s="148"/>
      <c r="T534" s="147"/>
      <c r="U534" s="144"/>
      <c r="V534" s="144"/>
    </row>
    <row r="535" spans="1:22" ht="14" x14ac:dyDescent="0.15">
      <c r="A535" s="144"/>
      <c r="B535" s="144"/>
      <c r="C535" s="145"/>
      <c r="D535" s="145"/>
      <c r="E535" s="148"/>
      <c r="F535" s="147"/>
      <c r="G535" s="144"/>
      <c r="H535" s="144"/>
      <c r="I535" s="144"/>
      <c r="J535" s="145"/>
      <c r="K535" s="145"/>
      <c r="L535" s="148"/>
      <c r="M535" s="149"/>
      <c r="N535" s="144"/>
      <c r="O535" s="144"/>
      <c r="P535" s="144"/>
      <c r="Q535" s="145"/>
      <c r="R535" s="145"/>
      <c r="S535" s="148"/>
      <c r="T535" s="147"/>
      <c r="U535" s="144"/>
      <c r="V535" s="144"/>
    </row>
    <row r="536" spans="1:22" ht="14" x14ac:dyDescent="0.15">
      <c r="A536" s="144"/>
      <c r="B536" s="144"/>
      <c r="C536" s="145"/>
      <c r="D536" s="145"/>
      <c r="E536" s="148"/>
      <c r="F536" s="147"/>
      <c r="G536" s="144"/>
      <c r="H536" s="144"/>
      <c r="I536" s="144"/>
      <c r="J536" s="145"/>
      <c r="K536" s="145"/>
      <c r="L536" s="148"/>
      <c r="M536" s="149"/>
      <c r="N536" s="144"/>
      <c r="O536" s="144"/>
      <c r="P536" s="144"/>
      <c r="Q536" s="145"/>
      <c r="R536" s="145"/>
      <c r="S536" s="148"/>
      <c r="T536" s="147"/>
      <c r="U536" s="144"/>
      <c r="V536" s="144"/>
    </row>
    <row r="537" spans="1:22" ht="14" x14ac:dyDescent="0.15">
      <c r="A537" s="144"/>
      <c r="B537" s="144"/>
      <c r="C537" s="145"/>
      <c r="D537" s="145"/>
      <c r="E537" s="148"/>
      <c r="F537" s="147"/>
      <c r="G537" s="144"/>
      <c r="H537" s="144"/>
      <c r="I537" s="144"/>
      <c r="J537" s="145"/>
      <c r="K537" s="145"/>
      <c r="L537" s="148"/>
      <c r="M537" s="149"/>
      <c r="N537" s="144"/>
      <c r="O537" s="144"/>
      <c r="P537" s="144"/>
      <c r="Q537" s="145"/>
      <c r="R537" s="145"/>
      <c r="S537" s="148"/>
      <c r="T537" s="147"/>
      <c r="U537" s="144"/>
      <c r="V537" s="144"/>
    </row>
    <row r="538" spans="1:22" ht="14" x14ac:dyDescent="0.15">
      <c r="A538" s="144"/>
      <c r="B538" s="144"/>
      <c r="C538" s="145"/>
      <c r="D538" s="145"/>
      <c r="E538" s="148"/>
      <c r="F538" s="147"/>
      <c r="G538" s="144"/>
      <c r="H538" s="144"/>
      <c r="I538" s="144"/>
      <c r="J538" s="145"/>
      <c r="K538" s="145"/>
      <c r="L538" s="148"/>
      <c r="M538" s="149"/>
      <c r="N538" s="144"/>
      <c r="O538" s="144"/>
      <c r="P538" s="144"/>
      <c r="Q538" s="145"/>
      <c r="R538" s="145"/>
      <c r="S538" s="148"/>
      <c r="T538" s="147"/>
      <c r="U538" s="144"/>
      <c r="V538" s="144"/>
    </row>
    <row r="539" spans="1:22" ht="14" x14ac:dyDescent="0.15">
      <c r="A539" s="144"/>
      <c r="B539" s="144"/>
      <c r="C539" s="145"/>
      <c r="D539" s="145"/>
      <c r="E539" s="148"/>
      <c r="F539" s="147"/>
      <c r="G539" s="144"/>
      <c r="H539" s="144"/>
      <c r="I539" s="144"/>
      <c r="J539" s="145"/>
      <c r="K539" s="145"/>
      <c r="L539" s="148"/>
      <c r="M539" s="149"/>
      <c r="N539" s="144"/>
      <c r="O539" s="144"/>
      <c r="P539" s="144"/>
      <c r="Q539" s="145"/>
      <c r="R539" s="145"/>
      <c r="S539" s="148"/>
      <c r="T539" s="147"/>
      <c r="U539" s="144"/>
      <c r="V539" s="144"/>
    </row>
    <row r="540" spans="1:22" ht="14" x14ac:dyDescent="0.15">
      <c r="A540" s="144"/>
      <c r="B540" s="144"/>
      <c r="C540" s="145"/>
      <c r="D540" s="145"/>
      <c r="E540" s="148"/>
      <c r="F540" s="147"/>
      <c r="G540" s="144"/>
      <c r="H540" s="144"/>
      <c r="I540" s="144"/>
      <c r="J540" s="145"/>
      <c r="K540" s="145"/>
      <c r="L540" s="148"/>
      <c r="M540" s="149"/>
      <c r="N540" s="144"/>
      <c r="O540" s="144"/>
      <c r="P540" s="144"/>
      <c r="Q540" s="145"/>
      <c r="R540" s="145"/>
      <c r="S540" s="148"/>
      <c r="T540" s="147"/>
      <c r="U540" s="144"/>
      <c r="V540" s="144"/>
    </row>
    <row r="541" spans="1:22" ht="14" x14ac:dyDescent="0.15">
      <c r="A541" s="144"/>
      <c r="B541" s="144"/>
      <c r="C541" s="145"/>
      <c r="D541" s="145"/>
      <c r="E541" s="148"/>
      <c r="F541" s="147"/>
      <c r="G541" s="144"/>
      <c r="H541" s="144"/>
      <c r="I541" s="144"/>
      <c r="J541" s="145"/>
      <c r="K541" s="145"/>
      <c r="L541" s="148"/>
      <c r="M541" s="149"/>
      <c r="N541" s="144"/>
      <c r="O541" s="144"/>
      <c r="P541" s="144"/>
      <c r="Q541" s="145"/>
      <c r="R541" s="145"/>
      <c r="S541" s="148"/>
      <c r="T541" s="147"/>
      <c r="U541" s="144"/>
      <c r="V541" s="144"/>
    </row>
    <row r="542" spans="1:22" ht="14" x14ac:dyDescent="0.15">
      <c r="A542" s="144"/>
      <c r="B542" s="144"/>
      <c r="C542" s="145"/>
      <c r="D542" s="145"/>
      <c r="E542" s="148"/>
      <c r="F542" s="147"/>
      <c r="G542" s="144"/>
      <c r="H542" s="144"/>
      <c r="I542" s="144"/>
      <c r="J542" s="145"/>
      <c r="K542" s="145"/>
      <c r="L542" s="148"/>
      <c r="M542" s="149"/>
      <c r="N542" s="144"/>
      <c r="O542" s="144"/>
      <c r="P542" s="144"/>
      <c r="Q542" s="145"/>
      <c r="R542" s="145"/>
      <c r="S542" s="148"/>
      <c r="T542" s="147"/>
      <c r="U542" s="144"/>
      <c r="V542" s="144"/>
    </row>
    <row r="543" spans="1:22" ht="14" x14ac:dyDescent="0.15">
      <c r="A543" s="144"/>
      <c r="B543" s="144"/>
      <c r="C543" s="145"/>
      <c r="D543" s="145"/>
      <c r="E543" s="148"/>
      <c r="F543" s="147"/>
      <c r="G543" s="144"/>
      <c r="H543" s="144"/>
      <c r="I543" s="144"/>
      <c r="J543" s="145"/>
      <c r="K543" s="145"/>
      <c r="L543" s="148"/>
      <c r="M543" s="149"/>
      <c r="N543" s="144"/>
      <c r="O543" s="144"/>
      <c r="P543" s="144"/>
      <c r="Q543" s="145"/>
      <c r="R543" s="145"/>
      <c r="S543" s="148"/>
      <c r="T543" s="147"/>
      <c r="U543" s="144"/>
      <c r="V543" s="144"/>
    </row>
    <row r="544" spans="1:22" ht="14" x14ac:dyDescent="0.15">
      <c r="A544" s="144"/>
      <c r="B544" s="144"/>
      <c r="C544" s="145"/>
      <c r="D544" s="145"/>
      <c r="E544" s="148"/>
      <c r="F544" s="147"/>
      <c r="G544" s="144"/>
      <c r="H544" s="144"/>
      <c r="I544" s="144"/>
      <c r="J544" s="145"/>
      <c r="K544" s="145"/>
      <c r="L544" s="148"/>
      <c r="M544" s="149"/>
      <c r="N544" s="144"/>
      <c r="O544" s="144"/>
      <c r="P544" s="144"/>
      <c r="Q544" s="145"/>
      <c r="R544" s="145"/>
      <c r="S544" s="148"/>
      <c r="T544" s="147"/>
      <c r="U544" s="144"/>
      <c r="V544" s="144"/>
    </row>
    <row r="545" spans="1:22" ht="14" x14ac:dyDescent="0.15">
      <c r="A545" s="144"/>
      <c r="B545" s="144"/>
      <c r="C545" s="145"/>
      <c r="D545" s="145"/>
      <c r="E545" s="148"/>
      <c r="F545" s="147"/>
      <c r="G545" s="144"/>
      <c r="H545" s="144"/>
      <c r="I545" s="144"/>
      <c r="J545" s="145"/>
      <c r="K545" s="145"/>
      <c r="L545" s="148"/>
      <c r="M545" s="149"/>
      <c r="N545" s="144"/>
      <c r="O545" s="144"/>
      <c r="P545" s="144"/>
      <c r="Q545" s="145"/>
      <c r="R545" s="145"/>
      <c r="S545" s="148"/>
      <c r="T545" s="147"/>
      <c r="U545" s="144"/>
      <c r="V545" s="144"/>
    </row>
    <row r="546" spans="1:22" ht="14" x14ac:dyDescent="0.15">
      <c r="A546" s="144"/>
      <c r="B546" s="144"/>
      <c r="C546" s="145"/>
      <c r="D546" s="145"/>
      <c r="E546" s="148"/>
      <c r="F546" s="147"/>
      <c r="G546" s="144"/>
      <c r="H546" s="144"/>
      <c r="I546" s="144"/>
      <c r="J546" s="145"/>
      <c r="K546" s="145"/>
      <c r="L546" s="148"/>
      <c r="M546" s="149"/>
      <c r="N546" s="144"/>
      <c r="O546" s="144"/>
      <c r="P546" s="144"/>
      <c r="Q546" s="145"/>
      <c r="R546" s="145"/>
      <c r="S546" s="148"/>
      <c r="T546" s="147"/>
      <c r="U546" s="144"/>
      <c r="V546" s="144"/>
    </row>
    <row r="547" spans="1:22" ht="14" x14ac:dyDescent="0.15">
      <c r="A547" s="144"/>
      <c r="B547" s="144"/>
      <c r="C547" s="145"/>
      <c r="D547" s="145"/>
      <c r="E547" s="148"/>
      <c r="F547" s="147"/>
      <c r="G547" s="144"/>
      <c r="H547" s="144"/>
      <c r="I547" s="144"/>
      <c r="J547" s="145"/>
      <c r="K547" s="145"/>
      <c r="L547" s="148"/>
      <c r="M547" s="149"/>
      <c r="N547" s="144"/>
      <c r="O547" s="144"/>
      <c r="P547" s="144"/>
      <c r="Q547" s="145"/>
      <c r="R547" s="145"/>
      <c r="S547" s="148"/>
      <c r="T547" s="147"/>
      <c r="U547" s="144"/>
      <c r="V547" s="144"/>
    </row>
    <row r="548" spans="1:22" ht="14" x14ac:dyDescent="0.15">
      <c r="A548" s="144"/>
      <c r="B548" s="144"/>
      <c r="C548" s="145"/>
      <c r="D548" s="145"/>
      <c r="E548" s="148"/>
      <c r="F548" s="147"/>
      <c r="G548" s="144"/>
      <c r="H548" s="144"/>
      <c r="I548" s="144"/>
      <c r="J548" s="145"/>
      <c r="K548" s="145"/>
      <c r="L548" s="148"/>
      <c r="M548" s="149"/>
      <c r="N548" s="144"/>
      <c r="O548" s="144"/>
      <c r="P548" s="144"/>
      <c r="Q548" s="145"/>
      <c r="R548" s="145"/>
      <c r="S548" s="148"/>
      <c r="T548" s="147"/>
      <c r="U548" s="144"/>
      <c r="V548" s="144"/>
    </row>
    <row r="549" spans="1:22" ht="14" x14ac:dyDescent="0.15">
      <c r="A549" s="144"/>
      <c r="B549" s="144"/>
      <c r="C549" s="145"/>
      <c r="D549" s="145"/>
      <c r="E549" s="148"/>
      <c r="F549" s="147"/>
      <c r="G549" s="144"/>
      <c r="H549" s="144"/>
      <c r="I549" s="144"/>
      <c r="J549" s="145"/>
      <c r="K549" s="145"/>
      <c r="L549" s="148"/>
      <c r="M549" s="149"/>
      <c r="N549" s="144"/>
      <c r="O549" s="144"/>
      <c r="P549" s="144"/>
      <c r="Q549" s="145"/>
      <c r="R549" s="145"/>
      <c r="S549" s="148"/>
      <c r="T549" s="147"/>
      <c r="U549" s="144"/>
      <c r="V549" s="144"/>
    </row>
    <row r="550" spans="1:22" ht="14" x14ac:dyDescent="0.15">
      <c r="A550" s="144"/>
      <c r="B550" s="144"/>
      <c r="C550" s="145"/>
      <c r="D550" s="145"/>
      <c r="E550" s="148"/>
      <c r="F550" s="147"/>
      <c r="G550" s="144"/>
      <c r="H550" s="144"/>
      <c r="I550" s="144"/>
      <c r="J550" s="145"/>
      <c r="K550" s="145"/>
      <c r="L550" s="148"/>
      <c r="M550" s="149"/>
      <c r="N550" s="144"/>
      <c r="O550" s="144"/>
      <c r="P550" s="144"/>
      <c r="Q550" s="145"/>
      <c r="R550" s="145"/>
      <c r="S550" s="148"/>
      <c r="T550" s="147"/>
      <c r="U550" s="144"/>
      <c r="V550" s="144"/>
    </row>
    <row r="551" spans="1:22" ht="14" x14ac:dyDescent="0.15">
      <c r="A551" s="144"/>
      <c r="B551" s="144"/>
      <c r="C551" s="145"/>
      <c r="D551" s="145"/>
      <c r="E551" s="148"/>
      <c r="F551" s="147"/>
      <c r="G551" s="144"/>
      <c r="H551" s="144"/>
      <c r="I551" s="144"/>
      <c r="J551" s="145"/>
      <c r="K551" s="145"/>
      <c r="L551" s="148"/>
      <c r="M551" s="149"/>
      <c r="N551" s="144"/>
      <c r="O551" s="144"/>
      <c r="P551" s="144"/>
      <c r="Q551" s="145"/>
      <c r="R551" s="145"/>
      <c r="S551" s="148"/>
      <c r="T551" s="147"/>
      <c r="U551" s="144"/>
      <c r="V551" s="144"/>
    </row>
    <row r="552" spans="1:22" ht="14" x14ac:dyDescent="0.15">
      <c r="A552" s="144"/>
      <c r="B552" s="144"/>
      <c r="C552" s="145"/>
      <c r="D552" s="145"/>
      <c r="E552" s="148"/>
      <c r="F552" s="147"/>
      <c r="G552" s="144"/>
      <c r="H552" s="144"/>
      <c r="I552" s="144"/>
      <c r="J552" s="145"/>
      <c r="K552" s="145"/>
      <c r="L552" s="148"/>
      <c r="M552" s="149"/>
      <c r="N552" s="144"/>
      <c r="O552" s="144"/>
      <c r="P552" s="144"/>
      <c r="Q552" s="145"/>
      <c r="R552" s="145"/>
      <c r="S552" s="148"/>
      <c r="T552" s="147"/>
      <c r="U552" s="144"/>
      <c r="V552" s="144"/>
    </row>
    <row r="553" spans="1:22" ht="14" x14ac:dyDescent="0.15">
      <c r="A553" s="144"/>
      <c r="B553" s="144"/>
      <c r="C553" s="145"/>
      <c r="D553" s="145"/>
      <c r="E553" s="148"/>
      <c r="F553" s="147"/>
      <c r="G553" s="144"/>
      <c r="H553" s="144"/>
      <c r="I553" s="144"/>
      <c r="J553" s="145"/>
      <c r="K553" s="145"/>
      <c r="L553" s="148"/>
      <c r="M553" s="149"/>
      <c r="N553" s="144"/>
      <c r="O553" s="144"/>
      <c r="P553" s="144"/>
      <c r="Q553" s="145"/>
      <c r="R553" s="145"/>
      <c r="S553" s="148"/>
      <c r="T553" s="147"/>
      <c r="U553" s="144"/>
      <c r="V553" s="144"/>
    </row>
    <row r="554" spans="1:22" ht="14" x14ac:dyDescent="0.15">
      <c r="A554" s="144"/>
      <c r="B554" s="144"/>
      <c r="C554" s="145"/>
      <c r="D554" s="145"/>
      <c r="E554" s="148"/>
      <c r="F554" s="147"/>
      <c r="G554" s="144"/>
      <c r="H554" s="144"/>
      <c r="I554" s="144"/>
      <c r="J554" s="145"/>
      <c r="K554" s="145"/>
      <c r="L554" s="148"/>
      <c r="M554" s="149"/>
      <c r="N554" s="144"/>
      <c r="O554" s="144"/>
      <c r="P554" s="144"/>
      <c r="Q554" s="145"/>
      <c r="R554" s="145"/>
      <c r="S554" s="148"/>
      <c r="T554" s="147"/>
      <c r="U554" s="144"/>
      <c r="V554" s="144"/>
    </row>
    <row r="555" spans="1:22" ht="14" x14ac:dyDescent="0.15">
      <c r="A555" s="144"/>
      <c r="B555" s="144"/>
      <c r="C555" s="145"/>
      <c r="D555" s="145"/>
      <c r="E555" s="148"/>
      <c r="F555" s="147"/>
      <c r="G555" s="144"/>
      <c r="H555" s="144"/>
      <c r="I555" s="144"/>
      <c r="J555" s="145"/>
      <c r="K555" s="145"/>
      <c r="L555" s="148"/>
      <c r="M555" s="149"/>
      <c r="N555" s="144"/>
      <c r="O555" s="144"/>
      <c r="P555" s="144"/>
      <c r="Q555" s="145"/>
      <c r="R555" s="145"/>
      <c r="S555" s="148"/>
      <c r="T555" s="147"/>
      <c r="U555" s="144"/>
      <c r="V555" s="144"/>
    </row>
    <row r="556" spans="1:22" ht="14" x14ac:dyDescent="0.15">
      <c r="A556" s="144"/>
      <c r="B556" s="144"/>
      <c r="C556" s="145"/>
      <c r="D556" s="145"/>
      <c r="E556" s="148"/>
      <c r="F556" s="147"/>
      <c r="G556" s="144"/>
      <c r="H556" s="144"/>
      <c r="I556" s="144"/>
      <c r="J556" s="145"/>
      <c r="K556" s="145"/>
      <c r="L556" s="148"/>
      <c r="M556" s="149"/>
      <c r="N556" s="144"/>
      <c r="O556" s="144"/>
      <c r="P556" s="144"/>
      <c r="Q556" s="145"/>
      <c r="R556" s="145"/>
      <c r="S556" s="148"/>
      <c r="T556" s="147"/>
      <c r="U556" s="144"/>
      <c r="V556" s="144"/>
    </row>
    <row r="557" spans="1:22" ht="14" x14ac:dyDescent="0.15">
      <c r="A557" s="144"/>
      <c r="B557" s="144"/>
      <c r="C557" s="145"/>
      <c r="D557" s="145"/>
      <c r="E557" s="148"/>
      <c r="F557" s="147"/>
      <c r="G557" s="144"/>
      <c r="H557" s="144"/>
      <c r="I557" s="144"/>
      <c r="J557" s="145"/>
      <c r="K557" s="145"/>
      <c r="L557" s="148"/>
      <c r="M557" s="149"/>
      <c r="N557" s="144"/>
      <c r="O557" s="144"/>
      <c r="P557" s="144"/>
      <c r="Q557" s="145"/>
      <c r="R557" s="145"/>
      <c r="S557" s="148"/>
      <c r="T557" s="147"/>
      <c r="U557" s="144"/>
      <c r="V557" s="144"/>
    </row>
    <row r="558" spans="1:22" ht="14" x14ac:dyDescent="0.15">
      <c r="A558" s="144"/>
      <c r="B558" s="144"/>
      <c r="C558" s="145"/>
      <c r="D558" s="145"/>
      <c r="E558" s="148"/>
      <c r="F558" s="147"/>
      <c r="G558" s="144"/>
      <c r="H558" s="144"/>
      <c r="I558" s="144"/>
      <c r="J558" s="145"/>
      <c r="K558" s="145"/>
      <c r="L558" s="148"/>
      <c r="M558" s="149"/>
      <c r="N558" s="144"/>
      <c r="O558" s="144"/>
      <c r="P558" s="144"/>
      <c r="Q558" s="145"/>
      <c r="R558" s="145"/>
      <c r="S558" s="148"/>
      <c r="T558" s="147"/>
      <c r="U558" s="144"/>
      <c r="V558" s="144"/>
    </row>
    <row r="559" spans="1:22" ht="14" x14ac:dyDescent="0.15">
      <c r="A559" s="144"/>
      <c r="B559" s="144"/>
      <c r="C559" s="145"/>
      <c r="D559" s="145"/>
      <c r="E559" s="148"/>
      <c r="F559" s="147"/>
      <c r="G559" s="144"/>
      <c r="H559" s="144"/>
      <c r="I559" s="144"/>
      <c r="J559" s="145"/>
      <c r="K559" s="145"/>
      <c r="L559" s="148"/>
      <c r="M559" s="149"/>
      <c r="N559" s="144"/>
      <c r="O559" s="144"/>
      <c r="P559" s="144"/>
      <c r="Q559" s="145"/>
      <c r="R559" s="145"/>
      <c r="S559" s="148"/>
      <c r="T559" s="147"/>
      <c r="U559" s="144"/>
      <c r="V559" s="144"/>
    </row>
    <row r="560" spans="1:22" ht="14" x14ac:dyDescent="0.15">
      <c r="A560" s="144"/>
      <c r="B560" s="144"/>
      <c r="C560" s="145"/>
      <c r="D560" s="145"/>
      <c r="E560" s="148"/>
      <c r="F560" s="147"/>
      <c r="G560" s="144"/>
      <c r="H560" s="144"/>
      <c r="I560" s="144"/>
      <c r="J560" s="145"/>
      <c r="K560" s="145"/>
      <c r="L560" s="148"/>
      <c r="M560" s="149"/>
      <c r="N560" s="144"/>
      <c r="O560" s="144"/>
      <c r="P560" s="144"/>
      <c r="Q560" s="145"/>
      <c r="R560" s="145"/>
      <c r="S560" s="148"/>
      <c r="T560" s="147"/>
      <c r="U560" s="144"/>
      <c r="V560" s="144"/>
    </row>
    <row r="561" spans="1:22" ht="14" x14ac:dyDescent="0.15">
      <c r="A561" s="144"/>
      <c r="B561" s="144"/>
      <c r="C561" s="145"/>
      <c r="D561" s="145"/>
      <c r="E561" s="148"/>
      <c r="F561" s="147"/>
      <c r="G561" s="144"/>
      <c r="H561" s="144"/>
      <c r="I561" s="144"/>
      <c r="J561" s="145"/>
      <c r="K561" s="145"/>
      <c r="L561" s="148"/>
      <c r="M561" s="149"/>
      <c r="N561" s="144"/>
      <c r="O561" s="144"/>
      <c r="P561" s="144"/>
      <c r="Q561" s="145"/>
      <c r="R561" s="145"/>
      <c r="S561" s="148"/>
      <c r="T561" s="147"/>
      <c r="U561" s="144"/>
      <c r="V561" s="144"/>
    </row>
    <row r="562" spans="1:22" ht="14" x14ac:dyDescent="0.15">
      <c r="A562" s="144"/>
      <c r="B562" s="144"/>
      <c r="C562" s="145"/>
      <c r="D562" s="145"/>
      <c r="E562" s="148"/>
      <c r="F562" s="147"/>
      <c r="G562" s="144"/>
      <c r="H562" s="144"/>
      <c r="I562" s="144"/>
      <c r="J562" s="145"/>
      <c r="K562" s="145"/>
      <c r="L562" s="148"/>
      <c r="M562" s="149"/>
      <c r="N562" s="144"/>
      <c r="O562" s="144"/>
      <c r="P562" s="144"/>
      <c r="Q562" s="145"/>
      <c r="R562" s="145"/>
      <c r="S562" s="148"/>
      <c r="T562" s="147"/>
      <c r="U562" s="144"/>
      <c r="V562" s="144"/>
    </row>
    <row r="563" spans="1:22" ht="14" x14ac:dyDescent="0.15">
      <c r="A563" s="144"/>
      <c r="B563" s="144"/>
      <c r="C563" s="145"/>
      <c r="D563" s="145"/>
      <c r="E563" s="148"/>
      <c r="F563" s="147"/>
      <c r="G563" s="144"/>
      <c r="H563" s="144"/>
      <c r="I563" s="144"/>
      <c r="J563" s="145"/>
      <c r="K563" s="145"/>
      <c r="L563" s="148"/>
      <c r="M563" s="149"/>
      <c r="N563" s="144"/>
      <c r="O563" s="144"/>
      <c r="P563" s="144"/>
      <c r="Q563" s="145"/>
      <c r="R563" s="145"/>
      <c r="S563" s="148"/>
      <c r="T563" s="147"/>
      <c r="U563" s="144"/>
      <c r="V563" s="144"/>
    </row>
    <row r="564" spans="1:22" ht="14" x14ac:dyDescent="0.15">
      <c r="A564" s="144"/>
      <c r="B564" s="144"/>
      <c r="C564" s="145"/>
      <c r="D564" s="145"/>
      <c r="E564" s="148"/>
      <c r="F564" s="147"/>
      <c r="G564" s="144"/>
      <c r="H564" s="144"/>
      <c r="I564" s="144"/>
      <c r="J564" s="145"/>
      <c r="K564" s="145"/>
      <c r="L564" s="148"/>
      <c r="M564" s="149"/>
      <c r="N564" s="144"/>
      <c r="O564" s="144"/>
      <c r="P564" s="144"/>
      <c r="Q564" s="145"/>
      <c r="R564" s="145"/>
      <c r="S564" s="148"/>
      <c r="T564" s="147"/>
      <c r="U564" s="144"/>
      <c r="V564" s="144"/>
    </row>
    <row r="565" spans="1:22" ht="14" x14ac:dyDescent="0.15">
      <c r="A565" s="144"/>
      <c r="B565" s="144"/>
      <c r="C565" s="145"/>
      <c r="D565" s="145"/>
      <c r="E565" s="148"/>
      <c r="F565" s="147"/>
      <c r="G565" s="144"/>
      <c r="H565" s="144"/>
      <c r="I565" s="144"/>
      <c r="J565" s="145"/>
      <c r="K565" s="145"/>
      <c r="L565" s="148"/>
      <c r="M565" s="149"/>
      <c r="N565" s="144"/>
      <c r="O565" s="144"/>
      <c r="P565" s="144"/>
      <c r="Q565" s="145"/>
      <c r="R565" s="145"/>
      <c r="S565" s="148"/>
      <c r="T565" s="147"/>
      <c r="U565" s="144"/>
      <c r="V565" s="144"/>
    </row>
    <row r="566" spans="1:22" ht="14" x14ac:dyDescent="0.15">
      <c r="A566" s="144"/>
      <c r="B566" s="144"/>
      <c r="C566" s="145"/>
      <c r="D566" s="145"/>
      <c r="E566" s="148"/>
      <c r="F566" s="147"/>
      <c r="G566" s="144"/>
      <c r="H566" s="144"/>
      <c r="I566" s="144"/>
      <c r="J566" s="145"/>
      <c r="K566" s="145"/>
      <c r="L566" s="148"/>
      <c r="M566" s="149"/>
      <c r="N566" s="144"/>
      <c r="O566" s="144"/>
      <c r="P566" s="144"/>
      <c r="Q566" s="145"/>
      <c r="R566" s="145"/>
      <c r="S566" s="148"/>
      <c r="T566" s="147"/>
      <c r="U566" s="144"/>
      <c r="V566" s="144"/>
    </row>
    <row r="567" spans="1:22" ht="14" x14ac:dyDescent="0.15">
      <c r="A567" s="144"/>
      <c r="B567" s="144"/>
      <c r="C567" s="145"/>
      <c r="D567" s="145"/>
      <c r="E567" s="148"/>
      <c r="F567" s="147"/>
      <c r="G567" s="144"/>
      <c r="H567" s="144"/>
      <c r="I567" s="144"/>
      <c r="J567" s="145"/>
      <c r="K567" s="145"/>
      <c r="L567" s="148"/>
      <c r="M567" s="149"/>
      <c r="N567" s="144"/>
      <c r="O567" s="144"/>
      <c r="P567" s="144"/>
      <c r="Q567" s="145"/>
      <c r="R567" s="145"/>
      <c r="S567" s="148"/>
      <c r="T567" s="147"/>
      <c r="U567" s="144"/>
      <c r="V567" s="144"/>
    </row>
    <row r="568" spans="1:22" ht="14" x14ac:dyDescent="0.15">
      <c r="A568" s="144"/>
      <c r="B568" s="144"/>
      <c r="C568" s="145"/>
      <c r="D568" s="145"/>
      <c r="E568" s="148"/>
      <c r="F568" s="147"/>
      <c r="G568" s="144"/>
      <c r="H568" s="144"/>
      <c r="I568" s="144"/>
      <c r="J568" s="145"/>
      <c r="K568" s="145"/>
      <c r="L568" s="148"/>
      <c r="M568" s="149"/>
      <c r="N568" s="144"/>
      <c r="O568" s="144"/>
      <c r="P568" s="144"/>
      <c r="Q568" s="145"/>
      <c r="R568" s="145"/>
      <c r="S568" s="148"/>
      <c r="T568" s="147"/>
      <c r="U568" s="144"/>
      <c r="V568" s="144"/>
    </row>
    <row r="569" spans="1:22" ht="14" x14ac:dyDescent="0.15">
      <c r="A569" s="144"/>
      <c r="B569" s="144"/>
      <c r="C569" s="145"/>
      <c r="D569" s="145"/>
      <c r="E569" s="148"/>
      <c r="F569" s="147"/>
      <c r="G569" s="144"/>
      <c r="H569" s="144"/>
      <c r="I569" s="144"/>
      <c r="J569" s="145"/>
      <c r="K569" s="145"/>
      <c r="L569" s="148"/>
      <c r="M569" s="149"/>
      <c r="N569" s="144"/>
      <c r="O569" s="144"/>
      <c r="P569" s="144"/>
      <c r="Q569" s="145"/>
      <c r="R569" s="145"/>
      <c r="S569" s="148"/>
      <c r="T569" s="147"/>
      <c r="U569" s="144"/>
      <c r="V569" s="144"/>
    </row>
    <row r="570" spans="1:22" ht="14" x14ac:dyDescent="0.15">
      <c r="A570" s="144"/>
      <c r="B570" s="144"/>
      <c r="C570" s="145"/>
      <c r="D570" s="145"/>
      <c r="E570" s="148"/>
      <c r="F570" s="147"/>
      <c r="G570" s="144"/>
      <c r="H570" s="144"/>
      <c r="I570" s="144"/>
      <c r="J570" s="145"/>
      <c r="K570" s="145"/>
      <c r="L570" s="148"/>
      <c r="M570" s="149"/>
      <c r="N570" s="144"/>
      <c r="O570" s="144"/>
      <c r="P570" s="144"/>
      <c r="Q570" s="145"/>
      <c r="R570" s="145"/>
      <c r="S570" s="148"/>
      <c r="T570" s="147"/>
      <c r="U570" s="144"/>
      <c r="V570" s="144"/>
    </row>
    <row r="571" spans="1:22" ht="14" x14ac:dyDescent="0.15">
      <c r="A571" s="144"/>
      <c r="B571" s="144"/>
      <c r="C571" s="145"/>
      <c r="D571" s="145"/>
      <c r="E571" s="148"/>
      <c r="F571" s="147"/>
      <c r="G571" s="144"/>
      <c r="H571" s="144"/>
      <c r="I571" s="144"/>
      <c r="J571" s="145"/>
      <c r="K571" s="145"/>
      <c r="L571" s="148"/>
      <c r="M571" s="149"/>
      <c r="N571" s="144"/>
      <c r="O571" s="144"/>
      <c r="P571" s="144"/>
      <c r="Q571" s="145"/>
      <c r="R571" s="145"/>
      <c r="S571" s="148"/>
      <c r="T571" s="147"/>
      <c r="U571" s="144"/>
      <c r="V571" s="144"/>
    </row>
    <row r="572" spans="1:22" ht="14" x14ac:dyDescent="0.15">
      <c r="A572" s="144"/>
      <c r="B572" s="144"/>
      <c r="C572" s="145"/>
      <c r="D572" s="145"/>
      <c r="E572" s="148"/>
      <c r="F572" s="147"/>
      <c r="G572" s="144"/>
      <c r="H572" s="144"/>
      <c r="I572" s="144"/>
      <c r="J572" s="145"/>
      <c r="K572" s="145"/>
      <c r="L572" s="148"/>
      <c r="M572" s="149"/>
      <c r="N572" s="144"/>
      <c r="O572" s="144"/>
      <c r="P572" s="144"/>
      <c r="Q572" s="145"/>
      <c r="R572" s="145"/>
      <c r="S572" s="148"/>
      <c r="T572" s="147"/>
      <c r="U572" s="144"/>
      <c r="V572" s="144"/>
    </row>
    <row r="573" spans="1:22" ht="14" x14ac:dyDescent="0.15">
      <c r="A573" s="144"/>
      <c r="B573" s="144"/>
      <c r="C573" s="145"/>
      <c r="D573" s="145"/>
      <c r="E573" s="148"/>
      <c r="F573" s="147"/>
      <c r="G573" s="144"/>
      <c r="H573" s="144"/>
      <c r="I573" s="144"/>
      <c r="J573" s="145"/>
      <c r="K573" s="145"/>
      <c r="L573" s="148"/>
      <c r="M573" s="149"/>
      <c r="N573" s="144"/>
      <c r="O573" s="144"/>
      <c r="P573" s="144"/>
      <c r="Q573" s="145"/>
      <c r="R573" s="145"/>
      <c r="S573" s="148"/>
      <c r="T573" s="147"/>
      <c r="U573" s="144"/>
      <c r="V573" s="144"/>
    </row>
    <row r="574" spans="1:22" ht="14" x14ac:dyDescent="0.15">
      <c r="A574" s="144"/>
      <c r="B574" s="144"/>
      <c r="C574" s="145"/>
      <c r="D574" s="145"/>
      <c r="E574" s="148"/>
      <c r="F574" s="147"/>
      <c r="G574" s="144"/>
      <c r="H574" s="144"/>
      <c r="I574" s="144"/>
      <c r="J574" s="145"/>
      <c r="K574" s="145"/>
      <c r="L574" s="148"/>
      <c r="M574" s="149"/>
      <c r="N574" s="144"/>
      <c r="O574" s="144"/>
      <c r="P574" s="144"/>
      <c r="Q574" s="145"/>
      <c r="R574" s="145"/>
      <c r="S574" s="148"/>
      <c r="T574" s="147"/>
      <c r="U574" s="144"/>
      <c r="V574" s="144"/>
    </row>
    <row r="575" spans="1:22" ht="14" x14ac:dyDescent="0.15">
      <c r="A575" s="144"/>
      <c r="B575" s="144"/>
      <c r="C575" s="145"/>
      <c r="D575" s="145"/>
      <c r="E575" s="148"/>
      <c r="F575" s="147"/>
      <c r="G575" s="144"/>
      <c r="H575" s="144"/>
      <c r="I575" s="144"/>
      <c r="J575" s="145"/>
      <c r="K575" s="145"/>
      <c r="L575" s="148"/>
      <c r="M575" s="149"/>
      <c r="N575" s="144"/>
      <c r="O575" s="144"/>
      <c r="P575" s="144"/>
      <c r="Q575" s="145"/>
      <c r="R575" s="145"/>
      <c r="S575" s="148"/>
      <c r="T575" s="147"/>
      <c r="U575" s="144"/>
      <c r="V575" s="144"/>
    </row>
    <row r="576" spans="1:22" ht="14" x14ac:dyDescent="0.15">
      <c r="A576" s="144"/>
      <c r="B576" s="144"/>
      <c r="C576" s="145"/>
      <c r="D576" s="145"/>
      <c r="E576" s="148"/>
      <c r="F576" s="147"/>
      <c r="G576" s="144"/>
      <c r="H576" s="144"/>
      <c r="I576" s="144"/>
      <c r="J576" s="145"/>
      <c r="K576" s="145"/>
      <c r="L576" s="148"/>
      <c r="M576" s="149"/>
      <c r="N576" s="144"/>
      <c r="O576" s="144"/>
      <c r="P576" s="144"/>
      <c r="Q576" s="145"/>
      <c r="R576" s="145"/>
      <c r="S576" s="148"/>
      <c r="T576" s="147"/>
      <c r="U576" s="144"/>
      <c r="V576" s="144"/>
    </row>
    <row r="577" spans="1:22" ht="14" x14ac:dyDescent="0.15">
      <c r="A577" s="144"/>
      <c r="B577" s="144"/>
      <c r="C577" s="145"/>
      <c r="D577" s="145"/>
      <c r="E577" s="148"/>
      <c r="F577" s="147"/>
      <c r="G577" s="144"/>
      <c r="H577" s="144"/>
      <c r="I577" s="144"/>
      <c r="J577" s="145"/>
      <c r="K577" s="145"/>
      <c r="L577" s="148"/>
      <c r="M577" s="149"/>
      <c r="N577" s="144"/>
      <c r="O577" s="144"/>
      <c r="P577" s="144"/>
      <c r="Q577" s="145"/>
      <c r="R577" s="145"/>
      <c r="S577" s="148"/>
      <c r="T577" s="147"/>
      <c r="U577" s="144"/>
      <c r="V577" s="144"/>
    </row>
    <row r="578" spans="1:22" ht="14" x14ac:dyDescent="0.15">
      <c r="A578" s="144"/>
      <c r="B578" s="144"/>
      <c r="C578" s="145"/>
      <c r="D578" s="145"/>
      <c r="E578" s="148"/>
      <c r="F578" s="147"/>
      <c r="G578" s="144"/>
      <c r="H578" s="144"/>
      <c r="I578" s="144"/>
      <c r="J578" s="145"/>
      <c r="K578" s="145"/>
      <c r="L578" s="148"/>
      <c r="M578" s="149"/>
      <c r="N578" s="144"/>
      <c r="O578" s="144"/>
      <c r="P578" s="144"/>
      <c r="Q578" s="145"/>
      <c r="R578" s="145"/>
      <c r="S578" s="148"/>
      <c r="T578" s="147"/>
      <c r="U578" s="144"/>
      <c r="V578" s="144"/>
    </row>
    <row r="579" spans="1:22" ht="14" x14ac:dyDescent="0.15">
      <c r="A579" s="144"/>
      <c r="B579" s="144"/>
      <c r="C579" s="145"/>
      <c r="D579" s="145"/>
      <c r="E579" s="148"/>
      <c r="F579" s="147"/>
      <c r="G579" s="144"/>
      <c r="H579" s="144"/>
      <c r="I579" s="144"/>
      <c r="J579" s="145"/>
      <c r="K579" s="145"/>
      <c r="L579" s="148"/>
      <c r="M579" s="149"/>
      <c r="N579" s="144"/>
      <c r="O579" s="144"/>
      <c r="P579" s="144"/>
      <c r="Q579" s="145"/>
      <c r="R579" s="145"/>
      <c r="S579" s="148"/>
      <c r="T579" s="147"/>
      <c r="U579" s="144"/>
      <c r="V579" s="144"/>
    </row>
    <row r="580" spans="1:22" ht="14" x14ac:dyDescent="0.15">
      <c r="A580" s="144"/>
      <c r="B580" s="144"/>
      <c r="C580" s="145"/>
      <c r="D580" s="145"/>
      <c r="E580" s="148"/>
      <c r="F580" s="147"/>
      <c r="G580" s="144"/>
      <c r="H580" s="144"/>
      <c r="I580" s="144"/>
      <c r="J580" s="145"/>
      <c r="K580" s="145"/>
      <c r="L580" s="148"/>
      <c r="M580" s="149"/>
      <c r="N580" s="144"/>
      <c r="O580" s="144"/>
      <c r="P580" s="144"/>
      <c r="Q580" s="145"/>
      <c r="R580" s="145"/>
      <c r="S580" s="148"/>
      <c r="T580" s="147"/>
      <c r="U580" s="144"/>
      <c r="V580" s="144"/>
    </row>
    <row r="581" spans="1:22" ht="14" x14ac:dyDescent="0.15">
      <c r="A581" s="144"/>
      <c r="B581" s="144"/>
      <c r="C581" s="145"/>
      <c r="D581" s="145"/>
      <c r="E581" s="148"/>
      <c r="F581" s="147"/>
      <c r="G581" s="144"/>
      <c r="H581" s="144"/>
      <c r="I581" s="144"/>
      <c r="J581" s="145"/>
      <c r="K581" s="145"/>
      <c r="L581" s="148"/>
      <c r="M581" s="149"/>
      <c r="N581" s="144"/>
      <c r="O581" s="144"/>
      <c r="P581" s="144"/>
      <c r="Q581" s="145"/>
      <c r="R581" s="145"/>
      <c r="S581" s="148"/>
      <c r="T581" s="147"/>
      <c r="U581" s="144"/>
      <c r="V581" s="144"/>
    </row>
    <row r="582" spans="1:22" ht="14" x14ac:dyDescent="0.15">
      <c r="A582" s="144"/>
      <c r="B582" s="144"/>
      <c r="C582" s="145"/>
      <c r="D582" s="145"/>
      <c r="E582" s="148"/>
      <c r="F582" s="147"/>
      <c r="G582" s="144"/>
      <c r="H582" s="144"/>
      <c r="I582" s="144"/>
      <c r="J582" s="145"/>
      <c r="K582" s="145"/>
      <c r="L582" s="148"/>
      <c r="M582" s="149"/>
      <c r="N582" s="144"/>
      <c r="O582" s="144"/>
      <c r="P582" s="144"/>
      <c r="Q582" s="145"/>
      <c r="R582" s="145"/>
      <c r="S582" s="148"/>
      <c r="T582" s="147"/>
      <c r="U582" s="144"/>
      <c r="V582" s="144"/>
    </row>
  </sheetData>
  <mergeCells count="9">
    <mergeCell ref="Q2:T2"/>
    <mergeCell ref="Q3:T3"/>
    <mergeCell ref="C1:F1"/>
    <mergeCell ref="J1:M1"/>
    <mergeCell ref="Q1:T1"/>
    <mergeCell ref="C2:F2"/>
    <mergeCell ref="J2:M2"/>
    <mergeCell ref="C3:F3"/>
    <mergeCell ref="J3:M3"/>
  </mergeCells>
  <hyperlinks>
    <hyperlink ref="E5" r:id="rId1" display="https://www.linkedin.com/learning/organization-design" xr:uid="{00000000-0004-0000-0400-000000000000}"/>
    <hyperlink ref="F5" r:id="rId2" display="https://www.linkedin.com/learning/paths/improve-your-organizational-skills" xr:uid="{00000000-0004-0000-0400-000001000000}"/>
    <hyperlink ref="L5" r:id="rId3" display="https://www.linkedin.com/learning/creating-a-culture-of-change" xr:uid="{00000000-0004-0000-0400-000002000000}"/>
    <hyperlink ref="M5" r:id="rId4" display="https://www.linkedin.com/learning/paths/managing-change" xr:uid="{00000000-0004-0000-0400-000003000000}"/>
    <hyperlink ref="S5" r:id="rId5" display="https://www.linkedin.com/learning/creating-a-high-performance-culture/components-of-high-performing-cultures" xr:uid="{00000000-0004-0000-0400-000004000000}"/>
    <hyperlink ref="T5" r:id="rId6" display="https://www.linkedin.com/learning/paths/improve-your-coaching-skills-as-a-manager?u=104" xr:uid="{00000000-0004-0000-0400-000005000000}"/>
    <hyperlink ref="E6" r:id="rId7" display="http://www.linkedin.com/learning/be-more-productive-take-small-steps-have-big-goals/gretchen-rubin-on-the-four-pillars-of-habit-formation" xr:uid="{00000000-0004-0000-0400-000006000000}"/>
    <hyperlink ref="F6" r:id="rId8" display="https://www.linkedin.com/learning/paths/become-a-high-performer-2" xr:uid="{00000000-0004-0000-0400-000007000000}"/>
    <hyperlink ref="L6" r:id="rId9" display="https://www.linkedin.com/learning/insights-on-working-from-home-s-largest-ever-experiment" xr:uid="{00000000-0004-0000-0400-000008000000}"/>
    <hyperlink ref="M6" r:id="rId10" display="https://www.linkedin.com/learning/paths/master-in-demand-professional-soft-skills" xr:uid="{00000000-0004-0000-0400-000009000000}"/>
    <hyperlink ref="S6" r:id="rId11" display="https://www.linkedin.com/learning/work-on-purpose" xr:uid="{00000000-0004-0000-0400-00000A000000}"/>
    <hyperlink ref="T6" r:id="rId12" display="https://www.linkedin.com/learning/paths/improve-your-teamwork-skills" xr:uid="{00000000-0004-0000-0400-00000B000000}"/>
    <hyperlink ref="E7" r:id="rId13" display="https://www.linkedin.com/learning/building-resilience/welcome" xr:uid="{00000000-0004-0000-0400-00000C000000}"/>
    <hyperlink ref="F7" r:id="rId14" display="https://www.linkedin.com/learning/paths/remote-working-setting-yourself-and-your-teams-up-for-success" xr:uid="{00000000-0004-0000-0400-00000D000000}"/>
    <hyperlink ref="L7" r:id="rId15" display="https://www.linkedin.com/learning/how-to-slash-anxiety-and-keep-positivity-flowing" xr:uid="{00000000-0004-0000-0400-00000E000000}"/>
    <hyperlink ref="M7" r:id="rId16" display="https://www.linkedin.com/learning/paths/manage-change-and-develop-your-adaptability-skills" xr:uid="{00000000-0004-0000-0400-00000F000000}"/>
    <hyperlink ref="S7" r:id="rId17" display="https://www.linkedin.com/learning/boosting-your-team-s-productivity" xr:uid="{00000000-0004-0000-0400-000010000000}"/>
    <hyperlink ref="T7" r:id="rId18" display="https://www.linkedin.com/learning/paths/managing-performance" xr:uid="{00000000-0004-0000-0400-000011000000}"/>
    <hyperlink ref="E8" r:id="rId19" display="https://www.linkedin.com/learning/delivering-results-effectively/what-does-it-mean-to-deliver-results" xr:uid="{00000000-0004-0000-0400-000012000000}"/>
    <hyperlink ref="F8" r:id="rId20" display="https://www.linkedin.com/learning/paths/building-accountability-and-becoming-results-oriented" xr:uid="{00000000-0004-0000-0400-000013000000}"/>
    <hyperlink ref="L8" r:id="rId21" display="https://www.linkedin.com/learning/negotiating-work-flexibility" xr:uid="{00000000-0004-0000-0400-000014000000}"/>
    <hyperlink ref="S8" r:id="rId22" display="https://www.linkedin.com/learning/building-your-team" xr:uid="{00000000-0004-0000-0400-000015000000}"/>
    <hyperlink ref="T8" r:id="rId23" display="https://www.linkedin.com/learning/paths/build-and-manage-effective-teams" xr:uid="{00000000-0004-0000-0400-000016000000}"/>
    <hyperlink ref="E9" r:id="rId24" display="https://www.linkedin.com/learning/developing-a-learning-mindset" xr:uid="{00000000-0004-0000-0400-000017000000}"/>
    <hyperlink ref="L9" r:id="rId25" display="https://www.linkedin.com/learning/business-innovation-foundations" xr:uid="{00000000-0004-0000-0400-000018000000}"/>
    <hyperlink ref="S9" r:id="rId26" display="https://www.linkedin.com/learning/communication-within-teams" xr:uid="{00000000-0004-0000-0400-000019000000}"/>
    <hyperlink ref="T9" r:id="rId27" display="https://www.linkedin.com/learning/paths/fostering-collaboration" xr:uid="{00000000-0004-0000-0400-00001A000000}"/>
    <hyperlink ref="E10" r:id="rId28" display="https://www.linkedin.com/learning/developing-resourcefulness" xr:uid="{00000000-0004-0000-0400-00001B000000}"/>
    <hyperlink ref="L10" r:id="rId29" display="https://www.linkedin.com/learning/building-resilience" xr:uid="{00000000-0004-0000-0400-00001C000000}"/>
    <hyperlink ref="S10" r:id="rId30" display="https://www.linkedin.com/learning/leading-inclusive-teams" xr:uid="{00000000-0004-0000-0400-00001D000000}"/>
    <hyperlink ref="E11" r:id="rId31" display="https://www.linkedin.com/learning/efficient-time-management/welcome" xr:uid="{00000000-0004-0000-0400-00001E000000}"/>
    <hyperlink ref="L11" r:id="rId32" display="https://www.linkedin.com/learning/learning-from-failure" xr:uid="{00000000-0004-0000-0400-00001F000000}"/>
    <hyperlink ref="S11" r:id="rId33" display="https://www.linkedin.com/learning/setting-team-and-employee-goals" xr:uid="{00000000-0004-0000-0400-000020000000}"/>
    <hyperlink ref="E12" r:id="rId34" display="https://www.linkedin.com/learning/enhancing-resilience" xr:uid="{00000000-0004-0000-0400-000021000000}"/>
    <hyperlink ref="L12" r:id="rId35" display="https://www.linkedin.com/learning/critical-thinking" xr:uid="{00000000-0004-0000-0400-000022000000}"/>
    <hyperlink ref="S12" r:id="rId36" display="https://www.linkedin.com/learning/shane-snow-on-dream-teams" xr:uid="{00000000-0004-0000-0400-000023000000}"/>
    <hyperlink ref="E13" r:id="rId37" display="https://www.linkedin.com/learning/enhancing-your-productivity" xr:uid="{00000000-0004-0000-0400-000024000000}"/>
    <hyperlink ref="L13" r:id="rId38" display="https://www.linkedin.com/learning/gary-hamel-on-busting-bureaucracy" xr:uid="{00000000-0004-0000-0400-000025000000}"/>
    <hyperlink ref="S13" r:id="rId39" display="https://www.linkedin.com/learning/top-of-mind-use-content-to-unleash-your-influence-getabstract-summary" xr:uid="{00000000-0004-0000-0400-000026000000}"/>
    <hyperlink ref="E14" r:id="rId40" display="https://www.linkedin.com/learning/fred-kofman-on-accountability/welcome" xr:uid="{00000000-0004-0000-0400-000027000000}"/>
    <hyperlink ref="L14" r:id="rId41" display="https://www.linkedin.com/learning/performing-under-pressure" xr:uid="{00000000-0004-0000-0400-000028000000}"/>
    <hyperlink ref="S14" r:id="rId42" display="https://www.linkedin.com/learning/motivating-your-team-to-learn" xr:uid="{00000000-0004-0000-0400-000029000000}"/>
    <hyperlink ref="E15" r:id="rId43" display="https://www.linkedin.com/learning/fred-kofman-on-making-commitments" xr:uid="{00000000-0004-0000-0400-00002A000000}"/>
    <hyperlink ref="L15" r:id="rId44" display="https://www.linkedin.com/learning/learning-agility" xr:uid="{00000000-0004-0000-0400-00002B000000}"/>
    <hyperlink ref="S15" r:id="rId45" display="https://www.linkedin.com/learning/culture-of-kaizen" xr:uid="{00000000-0004-0000-0400-00002C000000}"/>
    <hyperlink ref="E16" r:id="rId46" display="https://www.linkedin.com/learning/gaining-skills-with-linkedin-learning-2019" xr:uid="{00000000-0004-0000-0400-00002D000000}"/>
    <hyperlink ref="L16" r:id="rId47" display="https://www.linkedin.com/learning/developing-a-learning-mindset" xr:uid="{00000000-0004-0000-0400-00002E000000}"/>
    <hyperlink ref="S16" r:id="rId48" display="https://www.linkedin.com/learning/the-practices-of-high-performing-employees" xr:uid="{00000000-0004-0000-0400-00002F000000}"/>
    <hyperlink ref="E17" r:id="rId49" display="https://www.linkedin.com/learning/getting-things-done/capturing-things" xr:uid="{00000000-0004-0000-0400-000030000000}"/>
    <hyperlink ref="L17" r:id="rId50" display="https://www.linkedin.com/learning/sheryl-sandberg-and-adam-grant-on-option-b-building-resilience" xr:uid="{00000000-0004-0000-0400-000031000000}"/>
    <hyperlink ref="S17" r:id="rId51" display="https://www.linkedin.com/learning/dealing-with-the-seven-deadly-wastes" xr:uid="{00000000-0004-0000-0400-000032000000}"/>
    <hyperlink ref="E18" r:id="rId52" display="https://www.linkedin.com/learning/holding-yourself-accountable" xr:uid="{00000000-0004-0000-0400-000033000000}"/>
    <hyperlink ref="L18" r:id="rId53" display="https://www.linkedin.com/learning/enhancing-resilience" xr:uid="{00000000-0004-0000-0400-000034000000}"/>
    <hyperlink ref="S18" r:id="rId54" display="https://www.linkedin.com/learning/how-to-give-and-receive-useful-feedback-every-month" xr:uid="{00000000-0004-0000-0400-000035000000}"/>
    <hyperlink ref="E19" r:id="rId55" display="https://www.linkedin.com/learning/improving-your-focus/understand-the-two-facets-of-focus" xr:uid="{00000000-0004-0000-0400-000036000000}"/>
    <hyperlink ref="L19" r:id="rId56" display="https://www.linkedin.com/learning/cultivating-a-growth-mindset" xr:uid="{00000000-0004-0000-0400-000037000000}"/>
    <hyperlink ref="S19" r:id="rId57" display="https://www.linkedin.com/learning/the-six-morning-habits-of-high-performers" xr:uid="{00000000-0004-0000-0400-000038000000}"/>
    <hyperlink ref="E20" r:id="rId58" display="https://www.linkedin.com/learning/learning-agility" xr:uid="{00000000-0004-0000-0400-000039000000}"/>
    <hyperlink ref="L20" r:id="rId59" display="https://www.linkedin.com/learning/delivering-results-effectively" xr:uid="{00000000-0004-0000-0400-00003A000000}"/>
    <hyperlink ref="S20" r:id="rId60" display="https://www.linkedin.com/learning/teamwork-foundations-2020" xr:uid="{00000000-0004-0000-0400-00003B000000}"/>
    <hyperlink ref="E21" r:id="rId61" display="https://www.linkedin.com/learning/monday-productivity-pointers" xr:uid="{00000000-0004-0000-0400-00003C000000}"/>
    <hyperlink ref="L21" r:id="rId62" display="https://www.linkedin.com/learning/unlock-your-team-s-creativity" xr:uid="{00000000-0004-0000-0400-00003D000000}"/>
    <hyperlink ref="S21" r:id="rId63" display="https://www.linkedin.com/learning/creating-a-culture-of-learning-2020" xr:uid="{00000000-0004-0000-0400-00003E000000}"/>
    <hyperlink ref="E22" r:id="rId64" display="https://www.linkedin.com/learning/overcoming-procrastination-2" xr:uid="{00000000-0004-0000-0400-00003F000000}"/>
    <hyperlink ref="L22" r:id="rId65" display="https://www.linkedin.com/learning/managing-stress-2019" xr:uid="{00000000-0004-0000-0400-000040000000}"/>
    <hyperlink ref="S22" r:id="rId66" display="https://www.linkedin.com/learning/leading-remote-projects-and-virtual-teams" xr:uid="{00000000-0004-0000-0400-000041000000}"/>
    <hyperlink ref="E23" r:id="rId67" display="https://www.linkedin.com/learning/performing-under-pressure" xr:uid="{00000000-0004-0000-0400-000042000000}"/>
    <hyperlink ref="L23" r:id="rId68" display="https://www.linkedin.com/learning/aaron-dignan-on-transformational-change" xr:uid="{00000000-0004-0000-0400-000043000000}"/>
    <hyperlink ref="S23" r:id="rId69" display="https://www.linkedin.com/learning/hiring-an-employee-for-managers-2019" xr:uid="{00000000-0004-0000-0400-000044000000}"/>
    <hyperlink ref="E24" r:id="rId70" display="https://www.linkedin.com/learning/prioritizing-effectively-as-a-leader" xr:uid="{00000000-0004-0000-0400-000045000000}"/>
    <hyperlink ref="L24" r:id="rId71" display="https://www.linkedin.com/learning/avoiding-burnout-2019" xr:uid="{00000000-0004-0000-0400-000046000000}"/>
    <hyperlink ref="S24" r:id="rId72" display="https://www.linkedin.com/learning/leading-virtual-meetings" xr:uid="{00000000-0004-0000-0400-000047000000}"/>
    <hyperlink ref="E25" r:id="rId73" display="https://www.linkedin.com/learning/sheryl-sandberg-and-adam-grant-on-option-b-building-resilience" xr:uid="{00000000-0004-0000-0400-000048000000}"/>
    <hyperlink ref="L25" r:id="rId74" display="https://www.linkedin.com/learning/get-unstuck-from-a-career-rut" xr:uid="{00000000-0004-0000-0400-000049000000}"/>
    <hyperlink ref="S25" r:id="rId75" display="https://www.linkedin.com/learning/coaching-and-developing-employees-4" xr:uid="{00000000-0004-0000-0400-00004A000000}"/>
    <hyperlink ref="E26" r:id="rId76" display="https://www.linkedin.com/learning/solving-business-problems" xr:uid="{00000000-0004-0000-0400-00004B000000}"/>
    <hyperlink ref="L26" r:id="rId77" display="https://www.linkedin.com/learning/agile-software-development-creating-an-agile-culture" xr:uid="{00000000-0004-0000-0400-00004C000000}"/>
    <hyperlink ref="S26" r:id="rId78" display="https://www.linkedin.com/learning/improving-employee-performance" xr:uid="{00000000-0004-0000-0400-00004D000000}"/>
    <hyperlink ref="E27" r:id="rId79" display="https://www.linkedin.com/learning/time-management-fundamentals/welcome" xr:uid="{00000000-0004-0000-0400-00004E000000}"/>
    <hyperlink ref="L27" r:id="rId80" display="https://www.linkedin.com/learning/subtle-shifts-in-thinking-for-tremendous-resilience" xr:uid="{00000000-0004-0000-0400-00004F000000}"/>
    <hyperlink ref="S27" r:id="rId81" display="https://www.linkedin.com/learning/managing-teams-3" xr:uid="{00000000-0004-0000-0400-000050000000}"/>
    <hyperlink ref="E28" r:id="rId82" display="https://www.linkedin.com/learning/tony-schwartz-on-managing-your-energy-for-sustainable-high-performance/about-energy-management" xr:uid="{00000000-0004-0000-0400-000051000000}"/>
    <hyperlink ref="L28" r:id="rId83" display="https://www.linkedin.com/learning/managing-self-doubt-to-tackle-bigger-challenges" xr:uid="{00000000-0004-0000-0400-000052000000}"/>
    <hyperlink ref="S28" r:id="rId84" display="https://www.linkedin.com/learning/managing-virtual-teams-4" xr:uid="{00000000-0004-0000-0400-000053000000}"/>
    <hyperlink ref="E29" r:id="rId85" display="https://www.linkedin.com/learning/proven-tips-for-managing-your-time-2019" xr:uid="{00000000-0004-0000-0400-000054000000}"/>
    <hyperlink ref="L29" r:id="rId86" display="https://www.linkedin.com/learning/embracing-unexpected-change" xr:uid="{00000000-0004-0000-0400-000055000000}"/>
    <hyperlink ref="S29" r:id="rId87" display="https://www.linkedin.com/learning/motivating-and-engaging-employees-2/welcome" xr:uid="{00000000-0004-0000-0400-000056000000}"/>
    <hyperlink ref="E30" r:id="rId88" display="https://www.linkedin.com/learning/time-management-tips-2019" xr:uid="{00000000-0004-0000-0400-000057000000}"/>
    <hyperlink ref="L30" r:id="rId89" display="https://www.linkedin.com/learning/preparing-to-lead-developing-mental-toughness-in-yourself" xr:uid="{00000000-0004-0000-0400-000058000000}"/>
    <hyperlink ref="S30" r:id="rId90" display="https://www.linkedin.com/learning/rewarding-employee-performance" xr:uid="{00000000-0004-0000-0400-000059000000}"/>
    <hyperlink ref="E31" r:id="rId91" display="https://www.linkedin.com/learning/time-management-tips-teamwork-2019" xr:uid="{00000000-0004-0000-0400-00005A000000}"/>
    <hyperlink ref="L31" r:id="rId92" display="https://www.linkedin.com/learning/real-estate-developing-a-growth-mindset" xr:uid="{00000000-0004-0000-0400-00005B000000}"/>
    <hyperlink ref="S31" r:id="rId93" display="https://www.linkedin.com/learning/a-great-place-to-work-for-all-getabstract-summary" xr:uid="{00000000-0004-0000-0400-00005C000000}"/>
    <hyperlink ref="E32" r:id="rId94" display="https://www.linkedin.com/learning/time-management-tips-following-through-2019" xr:uid="{00000000-0004-0000-0400-00005D000000}"/>
    <hyperlink ref="L32" r:id="rId95" display="https://www.linkedin.com/learning/project-audio-highlights-2020" xr:uid="{00000000-0004-0000-0400-00005E000000}"/>
    <hyperlink ref="S32" r:id="rId96" display="https://www.linkedin.com/learning/why-motivating-people-doesn-t-work-and-what-does-getabstract-summary" xr:uid="{00000000-0004-0000-0400-00005F000000}"/>
    <hyperlink ref="E33" r:id="rId97" display="https://www.linkedin.com/learning/productivity-tips-finding-your-rhythm-2020" xr:uid="{00000000-0004-0000-0400-000060000000}"/>
    <hyperlink ref="L33" r:id="rId98" display="https://www.linkedin.com/learning/powerless-to-powerful-taking-control" xr:uid="{00000000-0004-0000-0400-000061000000}"/>
    <hyperlink ref="S33" r:id="rId99" display="https://www.linkedin.com/learning/business-chemistry-blinkist-summary" xr:uid="{00000000-0004-0000-0400-000062000000}"/>
    <hyperlink ref="E34" r:id="rId100" display="https://www.linkedin.com/learning/productivity-tips-using-technology-2020" xr:uid="{00000000-0004-0000-0400-000063000000}"/>
    <hyperlink ref="L34" r:id="rId101" display="https://www.linkedin.com/learning/handling-workplace-change-as-an-employee" xr:uid="{00000000-0004-0000-0400-000064000000}"/>
    <hyperlink ref="S34" r:id="rId102" display="https://www.linkedin.com/learning/creating-a-communications-strategy" xr:uid="{00000000-0004-0000-0400-000065000000}"/>
    <hyperlink ref="E35" r:id="rId103" display="https://www.linkedin.com/learning/productivity-tips-finding-your-productive-mindset-2020" xr:uid="{00000000-0004-0000-0400-000066000000}"/>
    <hyperlink ref="L35" r:id="rId104" display="https://www.linkedin.com/learning/developing-adaptable-employees" xr:uid="{00000000-0004-0000-0400-000067000000}"/>
    <hyperlink ref="S35" r:id="rId105" display="https://www.linkedin.com/learning/supporting-the-whole-self-at-work-a-diversity-and-inclusion-imperative" xr:uid="{00000000-0004-0000-0400-000068000000}"/>
    <hyperlink ref="E36" r:id="rId106" display="https://www.linkedin.com/learning/productivity-tips-setting-up-your-workplace" xr:uid="{00000000-0004-0000-0400-000069000000}"/>
    <hyperlink ref="L36" r:id="rId107" display="https://www.linkedin.com/learning/managing-stress-for-positive-change/how-to-use-this-course" xr:uid="{00000000-0004-0000-0400-00006A000000}"/>
    <hyperlink ref="S36" r:id="rId108" display="https://www.linkedin.com/learning/foundations-of-team-collaboration" xr:uid="{00000000-0004-0000-0400-00006B000000}"/>
    <hyperlink ref="E37" r:id="rId109" display="https://www.linkedin.com/learning/productivity-tips-taking-control-of-email-2019" xr:uid="{00000000-0004-0000-0400-00006C000000}"/>
    <hyperlink ref="L37" r:id="rId110" display="https://www.linkedin.com/learning/crunch-time-how-to-be-your-best-when-it-matters-most-getabstract-summary" xr:uid="{00000000-0004-0000-0400-00006D000000}"/>
    <hyperlink ref="S37" r:id="rId111" display="https://www.linkedin.com/learning/managing-remote-teams-setting-expectations-behaviors-and-habits" xr:uid="{00000000-0004-0000-0400-00006E000000}"/>
    <hyperlink ref="E38" r:id="rId112" display="https://www.linkedin.com/learning/building-a-better-to-do-list" xr:uid="{00000000-0004-0000-0400-00006F000000}"/>
    <hyperlink ref="L38" r:id="rId113" display="https://www.linkedin.com/learning/how-to-be-adaptable-as-an-employee" xr:uid="{00000000-0004-0000-0400-000070000000}"/>
    <hyperlink ref="S38" r:id="rId114" display="https://www.linkedin.com/learning/microsoft-teams-successful-meetings-and-events" xr:uid="{00000000-0004-0000-0400-000071000000}"/>
    <hyperlink ref="E39" r:id="rId115" display="https://www.linkedin.com/learning/15-secrets-successful-people-know-about-time-management-getabstract-summary" xr:uid="{00000000-0004-0000-0400-000072000000}"/>
    <hyperlink ref="L39" r:id="rId116" display="https://www.linkedin.com/learning/what-is-scrum" xr:uid="{00000000-0004-0000-0400-000073000000}"/>
    <hyperlink ref="S39" r:id="rId117" display="https://www.linkedin.com/learning/building-high-performance-teams" xr:uid="{00000000-0004-0000-0400-000074000000}"/>
    <hyperlink ref="E40" r:id="rId118" display="https://www.linkedin.com/learning/how-to-slow-down-and-be-more-productive" xr:uid="{00000000-0004-0000-0400-000075000000}"/>
    <hyperlink ref="L40" r:id="rId119" display="https://www.linkedin.com/learning/balancing-work-and-life-as-a-work-from-home-parent" xr:uid="{00000000-0004-0000-0400-000076000000}"/>
    <hyperlink ref="S40" r:id="rId120" display="https://www.linkedin.com/learning/developing-your-team-members" xr:uid="{00000000-0004-0000-0400-000077000000}"/>
    <hyperlink ref="E41" r:id="rId121" display="https://www.linkedin.com/learning/productivity-principles-to-make-time-for-what-s-important" xr:uid="{00000000-0004-0000-0400-000078000000}"/>
    <hyperlink ref="L41" r:id="rId122" display="https://www.linkedin.com/learning/managing-career-burnout" xr:uid="{00000000-0004-0000-0400-000079000000}"/>
    <hyperlink ref="S41" r:id="rId123" display="https://www.linkedin.com/learning/enhancing-team-innovation" xr:uid="{00000000-0004-0000-0400-00007A000000}"/>
    <hyperlink ref="E42" r:id="rId124" display="https://www.linkedin.com/learning/making-big-goals-achievable" xr:uid="{00000000-0004-0000-0400-00007B000000}"/>
    <hyperlink ref="S42" r:id="rId125" display="https://www.linkedin.com/learning/facilitation-skills-for-managers-and-leaders" xr:uid="{00000000-0004-0000-0400-00007C000000}"/>
    <hyperlink ref="E43" r:id="rId126" display="https://www.linkedin.com/learning/time-management-tips-communication-2019" xr:uid="{00000000-0004-0000-0400-00007D000000}"/>
    <hyperlink ref="L43" r:id="rId127" display="https://www.linkedin.com/learning/working-from-home-strategies-for-success" xr:uid="{00000000-0004-0000-0400-00007E000000}"/>
    <hyperlink ref="S43" r:id="rId128" display="https://www.linkedin.com/learning/leading-and-working-in-teams" xr:uid="{00000000-0004-0000-0400-00007F000000}"/>
    <hyperlink ref="E44" r:id="rId129" display="https://www.linkedin.com/learning/subtle-shifts-in-thinking-for-tremendous-resilience" xr:uid="{00000000-0004-0000-0400-000080000000}"/>
    <hyperlink ref="L44" r:id="rId130" display="https://www.linkedin.com/learning/change-management-foundations/welcome" xr:uid="{00000000-0004-0000-0400-000081000000}"/>
    <hyperlink ref="S44" r:id="rId131" display="https://www.linkedin.com/learning/managing-a-cross-functional-team" xr:uid="{00000000-0004-0000-0400-000082000000}"/>
    <hyperlink ref="E45" r:id="rId132" display="https://www.linkedin.com/learning/productivity-prioritizing-at-work" xr:uid="{00000000-0004-0000-0400-000083000000}"/>
    <hyperlink ref="L45" r:id="rId133" display="https://www.linkedin.com/learning/organizational-learning-and-development" xr:uid="{00000000-0004-0000-0400-000084000000}"/>
    <hyperlink ref="S45" r:id="rId134" display="https://www.linkedin.com/learning/managing-a-diverse-team" xr:uid="{00000000-0004-0000-0400-000085000000}"/>
    <hyperlink ref="E46" r:id="rId135" display="https://www.linkedin.com/learning/managing-your-energy" xr:uid="{00000000-0004-0000-0400-000086000000}"/>
    <hyperlink ref="L46" r:id="rId136" display="https://www.linkedin.com/learning/communicating-in-times-of-change/welcome" xr:uid="{00000000-0004-0000-0400-000087000000}"/>
    <hyperlink ref="S46" r:id="rId137" display="https://www.linkedin.com/learning/managing-team-conflict" xr:uid="{00000000-0004-0000-0400-000088000000}"/>
    <hyperlink ref="E47" r:id="rId138" display="https://www.linkedin.com/learning/building-better-routines" xr:uid="{00000000-0004-0000-0400-000089000000}"/>
    <hyperlink ref="L47" r:id="rId139" display="https://www.linkedin.com/learning/developing-adaptable-managers" xr:uid="{00000000-0004-0000-0400-00008A000000}"/>
    <hyperlink ref="S47" r:id="rId140" display="https://www.linkedin.com/learning/measuring-team-performance" xr:uid="{00000000-0004-0000-0400-00008B000000}"/>
    <hyperlink ref="E48" r:id="rId141" display="https://www.linkedin.com/learning/making-change-last" xr:uid="{00000000-0004-0000-0400-00008C000000}"/>
    <hyperlink ref="L48" r:id="rId142" display="https://www.linkedin.com/learning/taking-charge-of-technology-for-maximum-productivity/creativity" xr:uid="{00000000-0004-0000-0400-00008D000000}"/>
    <hyperlink ref="S48" r:id="rId143" display="https://www.linkedin.com/learning/practicing-fairness-as-a-manager" xr:uid="{00000000-0004-0000-0400-00008E000000}"/>
    <hyperlink ref="E49" r:id="rId144" display="https://www.linkedin.com/learning/how-to-effectively-deliver-criticism" xr:uid="{00000000-0004-0000-0400-00008F000000}"/>
    <hyperlink ref="L49" r:id="rId145" display="https://www.linkedin.com/learning/adaptive-project-leadership/adaptive-thinking-in-practice" xr:uid="{00000000-0004-0000-0400-000090000000}"/>
    <hyperlink ref="S49" r:id="rId146" display="https://www.linkedin.com/learning/having-career-conversations-with-your-team-members" xr:uid="{00000000-0004-0000-0400-000091000000}"/>
    <hyperlink ref="E50" r:id="rId147" display="https://www.linkedin.com/learning/dealing-with-disappointment-in-your-role" xr:uid="{00000000-0004-0000-0400-000092000000}"/>
    <hyperlink ref="L50" r:id="rId148" display="https://www.linkedin.com/learning/managing-organizational-change-for-managers" xr:uid="{00000000-0004-0000-0400-000093000000}"/>
    <hyperlink ref="S50" r:id="rId149" display="https://www.linkedin.com/learning/managing-for-better-ideas" xr:uid="{00000000-0004-0000-0400-000094000000}"/>
    <hyperlink ref="E51" r:id="rId150" display="https://www.linkedin.com/learning/unlocking-your-potential" xr:uid="{00000000-0004-0000-0400-000095000000}"/>
    <hyperlink ref="L51" r:id="rId151" display="https://www.linkedin.com/learning/cultivating-mental-agility" xr:uid="{00000000-0004-0000-0400-000096000000}"/>
    <hyperlink ref="S51" r:id="rId152" display="https://www.linkedin.com/learning/building-and-managing-a-high-performing-sales-team" xr:uid="{00000000-0004-0000-0400-000097000000}"/>
    <hyperlink ref="E52" r:id="rId153" display="https://www.linkedin.com/learning/prioritizing-tasks-for-maximum-impact" xr:uid="{00000000-0004-0000-0400-000098000000}"/>
    <hyperlink ref="L52" r:id="rId154" display="https://www.linkedin.com/learning/developing-adaptability-as-a-manager/predicting-and-planning-amidst-uncertainty" xr:uid="{00000000-0004-0000-0400-000099000000}"/>
    <hyperlink ref="S52" r:id="rId155" display="https://www.linkedin.com/learning/succeeding-as-a-leader-in-tech" xr:uid="{00000000-0004-0000-0400-00009A000000}"/>
    <hyperlink ref="E53" r:id="rId156" display="https://www.linkedin.com/learning/doubling-your-productivity" xr:uid="{00000000-0004-0000-0400-00009B000000}"/>
    <hyperlink ref="L53" r:id="rId157" display="https://www.linkedin.com/learning/your-l-d-organization-as-a-competitive-advantage/flexibility-and-adaptability" xr:uid="{00000000-0004-0000-0400-00009C000000}"/>
    <hyperlink ref="S53" r:id="rId158" display="https://www.linkedin.com/learning/the-surprising-science-of-meetings-getabstract-summary" xr:uid="{00000000-0004-0000-0400-00009D000000}"/>
    <hyperlink ref="E54" r:id="rId159" display="https://www.linkedin.com/learning/the-five-conversations-that-deliver-accountability-and-performance" xr:uid="{00000000-0004-0000-0400-00009E000000}"/>
    <hyperlink ref="L54" r:id="rId160" display="https://www.linkedin.com/learning/leaders-make-your-teams-more-agile-creative-and-united" xr:uid="{00000000-0004-0000-0400-00009F000000}"/>
    <hyperlink ref="S54" r:id="rId161" display="https://www.linkedin.com/learning/creating-winning-teams" xr:uid="{00000000-0004-0000-0400-0000A0000000}"/>
    <hyperlink ref="E55" r:id="rId162" display="https://www.linkedin.com/learning/time-management-for-busy-people" xr:uid="{00000000-0004-0000-0400-0000A1000000}"/>
    <hyperlink ref="L55" r:id="rId163" display="https://www.linkedin.com/learning/leading-your-team-through-change" xr:uid="{00000000-0004-0000-0400-0000A2000000}"/>
    <hyperlink ref="S55" r:id="rId164" display="https://www.linkedin.com/learning/creating-an-adaptable-team" xr:uid="{00000000-0004-0000-0400-0000A3000000}"/>
    <hyperlink ref="E56" r:id="rId165" display="https://www.linkedin.com/learning/how-to-organize-your-time-and-your-life" xr:uid="{00000000-0004-0000-0400-0000A4000000}"/>
    <hyperlink ref="S56" r:id="rId166" display="https://www.linkedin.com/learning/leading-a-customer-service-team" xr:uid="{00000000-0004-0000-0400-0000A5000000}"/>
    <hyperlink ref="E57" r:id="rId167" display="https://www.linkedin.com/learning/components-of-effective-learning" xr:uid="{00000000-0004-0000-0400-0000A6000000}"/>
    <hyperlink ref="E58" r:id="rId168" display="https://www.linkedin.com/learning/mixtape-learning-highlights-on-personal-effectiveness" xr:uid="{00000000-0004-0000-0400-0000A7000000}"/>
    <hyperlink ref="E59" r:id="rId169" display="https://www.linkedin.com/learning/goal-setting-objectives-and-key-results-okrs" xr:uid="{00000000-0004-0000-0400-0000A8000000}"/>
    <hyperlink ref="E60" r:id="rId170" display="https://www.linkedin.com/learning/personal-effectiveness-tips" xr:uid="{00000000-0004-0000-0400-0000A9000000}"/>
    <hyperlink ref="E61" r:id="rId171" display="https://www.linkedin.com/learning/powerless-to-powerful-taking-control" xr:uid="{00000000-0004-0000-0400-0000AA000000}"/>
    <hyperlink ref="E62" r:id="rId172" display="https://www.linkedin.com/learning/prioritizing-your-tasks" xr:uid="{00000000-0004-0000-0400-0000AB000000}"/>
    <hyperlink ref="E63" r:id="rId173" display="https://www.linkedin.com/learning/building-resilience-as-a-leader" xr:uid="{00000000-0004-0000-0400-0000AC000000}"/>
    <hyperlink ref="E64" r:id="rId174" display="https://www.linkedin.com/learning/time-tested-methods-for-making-complex-decisions" xr:uid="{00000000-0004-0000-0400-0000AD000000}"/>
    <hyperlink ref="E65" r:id="rId175" display="https://www.linkedin.com/learning/holding-your-team-accountable" xr:uid="{00000000-0004-0000-0400-0000AE000000}"/>
    <hyperlink ref="E66" r:id="rId176" display="https://www.linkedin.com/learning/time-management-for-managers/hold-others-accountable-for-deadlines" xr:uid="{00000000-0004-0000-0400-0000AF000000}"/>
    <hyperlink ref="E67" r:id="rId177" display="https://www.linkedin.com/learning/demonstrating-accountabilty-as-a-leader" xr:uid="{00000000-0004-0000-0400-0000B0000000}"/>
    <hyperlink ref="E68" r:id="rId178" display="https://www.linkedin.com/learning/building-accountability-into-your-culture/welcome" xr:uid="{00000000-0004-0000-0400-0000B1000000}"/>
    <hyperlink ref="E69" r:id="rId179" display="https://www.linkedin.com/learning/using-microsoft-teams-and-outlook-together-maximizing-productivity" xr:uid="{00000000-0004-0000-0400-0000B2000000}"/>
    <hyperlink ref="E70" r:id="rId180" display="https://www.linkedin.com/learning/stepping-up-how-taking-responsibility-changes-everything-getabstract-summary" xr:uid="{00000000-0004-0000-0400-0000B3000000}"/>
    <hyperlink ref="E71" r:id="rId181" display="https://www.linkedin.com/learning/the-rules-of-work-getabstract-summary" xr:uid="{00000000-0004-0000-0400-0000B4000000}"/>
    <hyperlink ref="E72" r:id="rId182" display="https://www.linkedin.com/learning/what-to-do-when-there-s-too-much-to-do-getabstract-summary" xr:uid="{00000000-0004-0000-0400-0000B5000000}"/>
    <hyperlink ref="E73" r:id="rId183" display="https://www.linkedin.com/learning/improving-the-value-of-your-time-2019" xr:uid="{00000000-0004-0000-0400-0000B6000000}"/>
    <hyperlink ref="E74" r:id="rId184" display="https://www.linkedin.com/learning/balancing-work-and-life-as-a-work-from-home-parent" xr:uid="{00000000-0004-0000-0400-0000B7000000}"/>
    <hyperlink ref="E75" r:id="rId185" display="https://www.linkedin.com/learning/business-ethics-2019" xr:uid="{00000000-0004-0000-0400-0000B8000000}"/>
    <hyperlink ref="E76" r:id="rId186" display="https://www.linkedin.com/learning/the-sweet-spot-how-to-accomplish-more-by-doing-less" xr:uid="{00000000-0004-0000-0400-0000B9000000}"/>
    <hyperlink ref="E77" r:id="rId187" display="https://www.linkedin.com/learning/showing-up-authentically-at-work" xr:uid="{00000000-0004-0000-0400-0000BA000000}"/>
    <hyperlink ref="E78" r:id="rId188" display="https://www.linkedin.com/learning/working-from-home-strategies-for-success" xr:uid="{00000000-0004-0000-0400-0000BB000000}"/>
    <hyperlink ref="E79" r:id="rId189" display="https://www.linkedin.com/learning/the-power-of-lists-to-get-stuff-done" xr:uid="{00000000-0004-0000-0400-0000BC000000}"/>
    <hyperlink ref="E80" r:id="rId190" display="https://www.linkedin.com/learning/asking-for-feedback-as-an-employee" xr:uid="{00000000-0004-0000-0400-0000BD000000}"/>
    <hyperlink ref="E81" r:id="rId191" display="https://www.linkedin.com/learning/mastering-self-leadership" xr:uid="{00000000-0004-0000-0400-0000BE000000}"/>
    <hyperlink ref="E82" r:id="rId192" display="https://www.linkedin.com/learning/managing-up-virtually-as-an-employee" xr:uid="{00000000-0004-0000-0400-0000BF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xr:uid="{00000000-0002-0000-0400-000000000000}">
          <x14:formula1>
            <xm:f>'All Competencies'!$A$3:$A582</xm:f>
          </x14:formula1>
          <xm:sqref>A1:C1 G1:J1 N1:Q1 U1:V1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1155CC"/>
    <outlinePr summaryBelow="0" summaryRight="0"/>
  </sheetPr>
  <dimension ref="A1:V80"/>
  <sheetViews>
    <sheetView showGridLines="0" workbookViewId="0">
      <pane ySplit="4" topLeftCell="A5" activePane="bottomLeft" state="frozen"/>
      <selection pane="bottomLeft" activeCell="F19" sqref="F19"/>
    </sheetView>
  </sheetViews>
  <sheetFormatPr baseColWidth="10" defaultColWidth="14.5" defaultRowHeight="15.75" customHeight="1" outlineLevelRow="1" x14ac:dyDescent="0.15"/>
  <cols>
    <col min="1" max="2" width="0.6640625" customWidth="1"/>
    <col min="3" max="3" width="13.5" customWidth="1"/>
    <col min="4" max="4" width="18" customWidth="1"/>
    <col min="5" max="5" width="36.83203125" customWidth="1"/>
    <col min="6" max="6" width="37.5" customWidth="1"/>
    <col min="7" max="9" width="0.6640625" customWidth="1"/>
    <col min="10" max="10" width="13.5" customWidth="1"/>
    <col min="11" max="11" width="18" customWidth="1"/>
    <col min="12" max="12" width="36.83203125" customWidth="1"/>
    <col min="13" max="13" width="37.5" customWidth="1"/>
    <col min="14" max="16" width="0.6640625" customWidth="1"/>
    <col min="17" max="17" width="13.5" customWidth="1"/>
    <col min="18" max="18" width="18" customWidth="1"/>
    <col min="19" max="19" width="36.83203125" customWidth="1"/>
    <col min="20" max="20" width="37.5" customWidth="1"/>
    <col min="21" max="22" width="0.6640625" customWidth="1"/>
  </cols>
  <sheetData>
    <row r="1" spans="1:22" ht="27.75" customHeight="1" outlineLevel="1" x14ac:dyDescent="0.15">
      <c r="A1" s="127"/>
      <c r="B1" s="127"/>
      <c r="C1" s="188" t="s">
        <v>197</v>
      </c>
      <c r="D1" s="160"/>
      <c r="E1" s="160"/>
      <c r="F1" s="160"/>
      <c r="G1" s="127"/>
      <c r="H1" s="127"/>
      <c r="I1" s="127"/>
      <c r="J1" s="188" t="s">
        <v>244</v>
      </c>
      <c r="K1" s="160"/>
      <c r="L1" s="160"/>
      <c r="M1" s="160"/>
      <c r="N1" s="127"/>
      <c r="O1" s="127"/>
      <c r="P1" s="127"/>
      <c r="Q1" s="188" t="s">
        <v>303</v>
      </c>
      <c r="R1" s="160"/>
      <c r="S1" s="160"/>
      <c r="T1" s="160"/>
      <c r="U1" s="127"/>
      <c r="V1" s="127"/>
    </row>
    <row r="2" spans="1:22" ht="17" outlineLevel="1" x14ac:dyDescent="0.15">
      <c r="A2" s="128"/>
      <c r="B2" s="128"/>
      <c r="C2" s="186" t="s">
        <v>1407</v>
      </c>
      <c r="D2" s="160"/>
      <c r="E2" s="160"/>
      <c r="F2" s="160"/>
      <c r="G2" s="128"/>
      <c r="H2" s="128"/>
      <c r="I2" s="128"/>
      <c r="J2" s="186" t="s">
        <v>1407</v>
      </c>
      <c r="K2" s="160"/>
      <c r="L2" s="160"/>
      <c r="M2" s="160"/>
      <c r="N2" s="128"/>
      <c r="O2" s="128"/>
      <c r="P2" s="128"/>
      <c r="Q2" s="186" t="s">
        <v>1407</v>
      </c>
      <c r="R2" s="160"/>
      <c r="S2" s="160"/>
      <c r="T2" s="160"/>
      <c r="U2" s="128"/>
      <c r="V2" s="128"/>
    </row>
    <row r="3" spans="1:22" ht="50" customHeight="1" outlineLevel="1" x14ac:dyDescent="0.15">
      <c r="A3" s="129"/>
      <c r="B3" s="129"/>
      <c r="C3" s="187" t="str">
        <f ca="1">IFERROR(__xludf.DUMMYFUNCTION("IFERROR(UNIQUE(FILTER('Competency Learning Paths'!N:N,'Competency Learning Paths'!A:A= C1)))"),"Building Trust, Peer Relationships, Collaboration, Approachability, Teamwork, Building Strategic Working Relationships, Gaining Commitment, Compassion, Building Positive Working Relationships, Integrity and Trust, Builds Networks, Instills Trust")</f>
        <v>Building Trust, Peer Relationships, Collaboration, Approachability, Teamwork, Building Strategic Working Relationships, Gaining Commitment, Compassion, Building Positive Working Relationships, Integrity and Trust, Builds Networks, Instills Trust</v>
      </c>
      <c r="D3" s="160"/>
      <c r="E3" s="160"/>
      <c r="F3" s="160"/>
      <c r="G3" s="129"/>
      <c r="H3" s="129"/>
      <c r="I3" s="129"/>
      <c r="J3" s="187" t="str">
        <f ca="1">IFERROR(__xludf.DUMMYFUNCTION("IFERROR(UNIQUE(FILTER('Competency Learning Paths'!N:N,'Competency Learning Paths'!A:A= J1)))"),"Communicates Effectively, Communication, Interpersonal Savvy, Influencing Others, Oral Communication, Interpersonal Communication, Organizational Communication, Listening")</f>
        <v>Communicates Effectively, Communication, Interpersonal Savvy, Influencing Others, Oral Communication, Interpersonal Communication, Organizational Communication, Listening</v>
      </c>
      <c r="K3" s="160"/>
      <c r="L3" s="160"/>
      <c r="M3" s="160"/>
      <c r="N3" s="129"/>
      <c r="O3" s="129"/>
      <c r="P3" s="129"/>
      <c r="Q3" s="187" t="str">
        <f ca="1">IFERROR(__xludf.DUMMYFUNCTION("IFERROR(UNIQUE(FILTER('Competency Learning Paths'!N:N,'Competency Learning Paths'!A:A= Q1)))"),"Conflict Management, Conflict Resolution, Managing Conflict, Confronting Direct Reports")</f>
        <v>Conflict Management, Conflict Resolution, Managing Conflict, Confronting Direct Reports</v>
      </c>
      <c r="R3" s="160"/>
      <c r="S3" s="160"/>
      <c r="T3" s="160"/>
      <c r="U3" s="129"/>
      <c r="V3" s="129"/>
    </row>
    <row r="4" spans="1:22" ht="16" outlineLevel="1" x14ac:dyDescent="0.15">
      <c r="A4" s="130"/>
      <c r="B4" s="131"/>
      <c r="C4" s="132" t="str">
        <f ca="1">IFERROR(__xludf.DUMMYFUNCTION("FILTER('All Competencies'!B:B,'All Competencies'!A:A=C1)"),"Course IDs")</f>
        <v>Course IDs</v>
      </c>
      <c r="D4" s="132" t="str">
        <f ca="1">IFERROR(__xludf.DUMMYFUNCTION("FILTER('All Competencies'!C:C,'All Competencies'!A:A=C1)"),"Level")</f>
        <v>Level</v>
      </c>
      <c r="E4" s="132" t="str">
        <f ca="1">IFERROR(__xludf.DUMMYFUNCTION("FILTER('All Competencies'!D:D,'All Competencies'!A:A=C1)"),"Courses")</f>
        <v>Courses</v>
      </c>
      <c r="F4" s="132" t="str">
        <f ca="1">IFERROR(__xludf.DUMMYFUNCTION("FILTER('All Competencies'!E:E,'All Competencies'!A:A=C1)"),"Learning Paths")</f>
        <v>Learning Paths</v>
      </c>
      <c r="G4" s="133"/>
      <c r="H4" s="131"/>
      <c r="I4" s="130"/>
      <c r="J4" s="132" t="str">
        <f ca="1">IFERROR(__xludf.DUMMYFUNCTION("FILTER('All Competencies'!B:B,'All Competencies'!A:A=J1)"),"Course IDs")</f>
        <v>Course IDs</v>
      </c>
      <c r="K4" s="132" t="str">
        <f ca="1">IFERROR(__xludf.DUMMYFUNCTION("FILTER('All Competencies'!C:C,'All Competencies'!A:A=J1)"),"Level")</f>
        <v>Level</v>
      </c>
      <c r="L4" s="132" t="str">
        <f ca="1">IFERROR(__xludf.DUMMYFUNCTION("FILTER('All Competencies'!D:D,'All Competencies'!A:A=J1)"),"Courses")</f>
        <v>Courses</v>
      </c>
      <c r="M4" s="132" t="str">
        <f ca="1">IFERROR(__xludf.DUMMYFUNCTION("FILTER('All Competencies'!E:E,'All Competencies'!A:A=J1)"),"Learning Paths")</f>
        <v>Learning Paths</v>
      </c>
      <c r="N4" s="133"/>
      <c r="O4" s="131"/>
      <c r="P4" s="130"/>
      <c r="Q4" s="132" t="str">
        <f ca="1">IFERROR(__xludf.DUMMYFUNCTION("FILTER('All Competencies'!B:B,'All Competencies'!A:A=Q1)"),"Course IDs")</f>
        <v>Course IDs</v>
      </c>
      <c r="R4" s="132" t="str">
        <f ca="1">IFERROR(__xludf.DUMMYFUNCTION("FILTER('All Competencies'!C:C,'All Competencies'!A:A=Q1)"),"Level")</f>
        <v>Level</v>
      </c>
      <c r="S4" s="132" t="str">
        <f ca="1">IFERROR(__xludf.DUMMYFUNCTION("FILTER('All Competencies'!D:D,'All Competencies'!A:A=Q1)"),"Courses")</f>
        <v>Courses</v>
      </c>
      <c r="T4" s="132" t="str">
        <f ca="1">IFERROR(__xludf.DUMMYFUNCTION("FILTER('All Competencies'!E:E,'All Competencies'!A:A=Q1)"),"Learning Paths")</f>
        <v>Learning Paths</v>
      </c>
      <c r="U4" s="133"/>
      <c r="V4" s="130"/>
    </row>
    <row r="5" spans="1:22" ht="33.75" customHeight="1" x14ac:dyDescent="0.15">
      <c r="A5" s="134"/>
      <c r="B5" s="134"/>
      <c r="C5" s="135">
        <f ca="1">IFERROR(__xludf.DUMMYFUNCTION("""COMPUTED_VALUE"""),2814038)</f>
        <v>2814038</v>
      </c>
      <c r="D5" s="135" t="str">
        <f ca="1">IFERROR(__xludf.DUMMYFUNCTION("""COMPUTED_VALUE"""),"Advanced")</f>
        <v>Advanced</v>
      </c>
      <c r="E5" s="136" t="str">
        <f ca="1">IFERROR(__xludf.DUMMYFUNCTION("""COMPUTED_VALUE"""),"Working in Harmony as a Senior Team")</f>
        <v>Working in Harmony as a Senior Team</v>
      </c>
      <c r="F5" s="137" t="str">
        <f ca="1">IFERROR(__xludf.DUMMYFUNCTION("""COMPUTED_VALUE"""),"Become an Inclusive Leader")</f>
        <v>Become an Inclusive Leader</v>
      </c>
      <c r="G5" s="134"/>
      <c r="H5" s="134"/>
      <c r="I5" s="134"/>
      <c r="J5" s="135">
        <f ca="1">IFERROR(__xludf.DUMMYFUNCTION("""COMPUTED_VALUE"""),711805)</f>
        <v>711805</v>
      </c>
      <c r="K5" s="135" t="str">
        <f ca="1">IFERROR(__xludf.DUMMYFUNCTION("""COMPUTED_VALUE"""),"Advanced")</f>
        <v>Advanced</v>
      </c>
      <c r="L5" s="136" t="str">
        <f ca="1">IFERROR(__xludf.DUMMYFUNCTION("""COMPUTED_VALUE"""),"Advanced Business Development: Communication and Negotiation")</f>
        <v>Advanced Business Development: Communication and Negotiation</v>
      </c>
      <c r="M5" s="137" t="str">
        <f ca="1">IFERROR(__xludf.DUMMYFUNCTION("""COMPUTED_VALUE"""),"Fostering Collaboration")</f>
        <v>Fostering Collaboration</v>
      </c>
      <c r="N5" s="134"/>
      <c r="O5" s="134"/>
      <c r="P5" s="134"/>
      <c r="Q5" s="135">
        <f ca="1">IFERROR(__xludf.DUMMYFUNCTION("""COMPUTED_VALUE"""),182921)</f>
        <v>182921</v>
      </c>
      <c r="R5" s="135" t="str">
        <f ca="1">IFERROR(__xludf.DUMMYFUNCTION("""COMPUTED_VALUE"""),"Advanced")</f>
        <v>Advanced</v>
      </c>
      <c r="S5" s="136" t="str">
        <f ca="1">IFERROR(__xludf.DUMMYFUNCTION("""COMPUTED_VALUE"""),"Crisis Communication")</f>
        <v>Crisis Communication</v>
      </c>
      <c r="T5" s="137" t="str">
        <f ca="1">IFERROR(__xludf.DUMMYFUNCTION("""COMPUTED_VALUE"""),"Improve Your Teamwork Skills")</f>
        <v>Improve Your Teamwork Skills</v>
      </c>
      <c r="U5" s="134"/>
      <c r="V5" s="134"/>
    </row>
    <row r="6" spans="1:22" ht="33.75" customHeight="1" x14ac:dyDescent="0.15">
      <c r="A6" s="134"/>
      <c r="B6" s="134"/>
      <c r="C6" s="138">
        <f ca="1">IFERROR(__xludf.DUMMYFUNCTION("""COMPUTED_VALUE"""),5040389)</f>
        <v>5040389</v>
      </c>
      <c r="D6" s="138" t="str">
        <f ca="1">IFERROR(__xludf.DUMMYFUNCTION("""COMPUTED_VALUE"""),"Advanced")</f>
        <v>Advanced</v>
      </c>
      <c r="E6" s="139" t="str">
        <f ca="1">IFERROR(__xludf.DUMMYFUNCTION("""COMPUTED_VALUE"""),"Cross-Functional Sales Teams")</f>
        <v>Cross-Functional Sales Teams</v>
      </c>
      <c r="F6" s="140" t="str">
        <f ca="1">IFERROR(__xludf.DUMMYFUNCTION("""COMPUTED_VALUE"""),"Fostering Collaboration")</f>
        <v>Fostering Collaboration</v>
      </c>
      <c r="G6" s="134"/>
      <c r="H6" s="134"/>
      <c r="I6" s="134"/>
      <c r="J6" s="138">
        <f ca="1">IFERROR(__xludf.DUMMYFUNCTION("""COMPUTED_VALUE"""),2975163)</f>
        <v>2975163</v>
      </c>
      <c r="K6" s="138" t="str">
        <f ca="1">IFERROR(__xludf.DUMMYFUNCTION("""COMPUTED_VALUE"""),"Advanced")</f>
        <v>Advanced</v>
      </c>
      <c r="L6" s="139" t="str">
        <f ca="1">IFERROR(__xludf.DUMMYFUNCTION("""COMPUTED_VALUE"""),"Crisis Communication for HR")</f>
        <v>Crisis Communication for HR</v>
      </c>
      <c r="M6" s="140" t="str">
        <f ca="1">IFERROR(__xludf.DUMMYFUNCTION("""COMPUTED_VALUE"""),"Improve Your Interoffice Politics Skills")</f>
        <v>Improve Your Interoffice Politics Skills</v>
      </c>
      <c r="N6" s="134"/>
      <c r="O6" s="134"/>
      <c r="P6" s="134"/>
      <c r="Q6" s="138">
        <f ca="1">IFERROR(__xludf.DUMMYFUNCTION("""COMPUTED_VALUE"""),784281)</f>
        <v>784281</v>
      </c>
      <c r="R6" s="138" t="str">
        <f ca="1">IFERROR(__xludf.DUMMYFUNCTION("""COMPUTED_VALUE"""),"Advanced")</f>
        <v>Advanced</v>
      </c>
      <c r="S6" s="139" t="str">
        <f ca="1">IFERROR(__xludf.DUMMYFUNCTION("""COMPUTED_VALUE"""),"De-Escalating Intense Situations")</f>
        <v>De-Escalating Intense Situations</v>
      </c>
      <c r="T6" s="140" t="str">
        <f ca="1">IFERROR(__xludf.DUMMYFUNCTION("""COMPUTED_VALUE"""),"Succeeding in Sales During Times of Volatility")</f>
        <v>Succeeding in Sales During Times of Volatility</v>
      </c>
      <c r="U6" s="134"/>
      <c r="V6" s="134"/>
    </row>
    <row r="7" spans="1:22" ht="33.75" customHeight="1" x14ac:dyDescent="0.15">
      <c r="A7" s="134"/>
      <c r="B7" s="134"/>
      <c r="C7" s="138">
        <f ca="1">IFERROR(__xludf.DUMMYFUNCTION("""COMPUTED_VALUE"""),2877032)</f>
        <v>2877032</v>
      </c>
      <c r="D7" s="138" t="str">
        <f ca="1">IFERROR(__xludf.DUMMYFUNCTION("""COMPUTED_VALUE"""),"Beginner")</f>
        <v>Beginner</v>
      </c>
      <c r="E7" s="139" t="str">
        <f ca="1">IFERROR(__xludf.DUMMYFUNCTION("""COMPUTED_VALUE"""),"How to Build Rapport Quickly")</f>
        <v>How to Build Rapport Quickly</v>
      </c>
      <c r="F7" s="140" t="str">
        <f ca="1">IFERROR(__xludf.DUMMYFUNCTION("""COMPUTED_VALUE"""),"Improve Your Teamwork Skills")</f>
        <v>Improve Your Teamwork Skills</v>
      </c>
      <c r="G7" s="134"/>
      <c r="H7" s="134"/>
      <c r="I7" s="134"/>
      <c r="J7" s="138">
        <f ca="1">IFERROR(__xludf.DUMMYFUNCTION("""COMPUTED_VALUE"""),376381)</f>
        <v>376381</v>
      </c>
      <c r="K7" s="138" t="str">
        <f ca="1">IFERROR(__xludf.DUMMYFUNCTION("""COMPUTED_VALUE"""),"Advanced")</f>
        <v>Advanced</v>
      </c>
      <c r="L7" s="139" t="str">
        <f ca="1">IFERROR(__xludf.DUMMYFUNCTION("""COMPUTED_VALUE"""),"Strategic Negotiation")</f>
        <v>Strategic Negotiation</v>
      </c>
      <c r="M7" s="140" t="str">
        <f ca="1">IFERROR(__xludf.DUMMYFUNCTION("""COMPUTED_VALUE"""),"Improve Your Teamwork Skills")</f>
        <v>Improve Your Teamwork Skills</v>
      </c>
      <c r="N7" s="134"/>
      <c r="O7" s="134"/>
      <c r="P7" s="134"/>
      <c r="Q7" s="138">
        <f ca="1">IFERROR(__xludf.DUMMYFUNCTION("""COMPUTED_VALUE"""),2832010)</f>
        <v>2832010</v>
      </c>
      <c r="R7" s="138" t="str">
        <f ca="1">IFERROR(__xludf.DUMMYFUNCTION("""COMPUTED_VALUE"""),"Beginner")</f>
        <v>Beginner</v>
      </c>
      <c r="S7" s="139" t="str">
        <f ca="1">IFERROR(__xludf.DUMMYFUNCTION("""COMPUTED_VALUE"""),"How to Proactively Manage Conflict as an Employee")</f>
        <v>How to Proactively Manage Conflict as an Employee</v>
      </c>
      <c r="T7" s="140" t="str">
        <f ca="1">IFERROR(__xludf.DUMMYFUNCTION("""COMPUTED_VALUE"""),"Master In-Demand Professional Soft Skills")</f>
        <v>Master In-Demand Professional Soft Skills</v>
      </c>
      <c r="U7" s="134"/>
      <c r="V7" s="134"/>
    </row>
    <row r="8" spans="1:22" ht="30" x14ac:dyDescent="0.15">
      <c r="A8" s="134"/>
      <c r="B8" s="134"/>
      <c r="C8" s="138">
        <f ca="1">IFERROR(__xludf.DUMMYFUNCTION("""COMPUTED_VALUE"""),2870083)</f>
        <v>2870083</v>
      </c>
      <c r="D8" s="138" t="str">
        <f ca="1">IFERROR(__xludf.DUMMYFUNCTION("""COMPUTED_VALUE"""),"Beginner")</f>
        <v>Beginner</v>
      </c>
      <c r="E8" s="139" t="str">
        <f ca="1">IFERROR(__xludf.DUMMYFUNCTION("""COMPUTED_VALUE"""),"Become a Super-Collaborator")</f>
        <v>Become a Super-Collaborator</v>
      </c>
      <c r="F8" s="140" t="str">
        <f ca="1">IFERROR(__xludf.DUMMYFUNCTION("""COMPUTED_VALUE"""),"Digital Transformation in Practice: Virtual Collaboration Tools")</f>
        <v>Digital Transformation in Practice: Virtual Collaboration Tools</v>
      </c>
      <c r="G8" s="134"/>
      <c r="H8" s="134"/>
      <c r="I8" s="134"/>
      <c r="J8" s="138">
        <f ca="1">IFERROR(__xludf.DUMMYFUNCTION("""COMPUTED_VALUE"""),359601)</f>
        <v>359601</v>
      </c>
      <c r="K8" s="138" t="str">
        <f ca="1">IFERROR(__xludf.DUMMYFUNCTION("""COMPUTED_VALUE"""),"Beginner")</f>
        <v>Beginner</v>
      </c>
      <c r="L8" s="139" t="str">
        <f ca="1">IFERROR(__xludf.DUMMYFUNCTION("""COMPUTED_VALUE"""),"Communicating with Confidence")</f>
        <v>Communicating with Confidence</v>
      </c>
      <c r="M8" s="140" t="str">
        <f ca="1">IFERROR(__xludf.DUMMYFUNCTION("""COMPUTED_VALUE"""),"Master In-Demand Professional Soft Skills")</f>
        <v>Master In-Demand Professional Soft Skills</v>
      </c>
      <c r="N8" s="134"/>
      <c r="O8" s="134"/>
      <c r="P8" s="134"/>
      <c r="Q8" s="138">
        <f ca="1">IFERROR(__xludf.DUMMYFUNCTION("""COMPUTED_VALUE"""),2877045)</f>
        <v>2877045</v>
      </c>
      <c r="R8" s="138" t="str">
        <f ca="1">IFERROR(__xludf.DUMMYFUNCTION("""COMPUTED_VALUE"""),"Beginner")</f>
        <v>Beginner</v>
      </c>
      <c r="S8" s="139" t="str">
        <f ca="1">IFERROR(__xludf.DUMMYFUNCTION("""COMPUTED_VALUE"""),"How to Resolve Conflict and Boost Productivity through Deep Listening")</f>
        <v>How to Resolve Conflict and Boost Productivity through Deep Listening</v>
      </c>
      <c r="T8" s="140" t="str">
        <f ca="1">IFERROR(__xludf.DUMMYFUNCTION("""COMPUTED_VALUE"""),"Develop Conflict Management and Resolution Skills ")</f>
        <v xml:space="preserve">Develop Conflict Management and Resolution Skills </v>
      </c>
      <c r="U8" s="134"/>
      <c r="V8" s="134"/>
    </row>
    <row r="9" spans="1:22" ht="30" x14ac:dyDescent="0.15">
      <c r="A9" s="134"/>
      <c r="B9" s="134"/>
      <c r="C9" s="138">
        <f ca="1">IFERROR(__xludf.DUMMYFUNCTION("""COMPUTED_VALUE"""),758614)</f>
        <v>758614</v>
      </c>
      <c r="D9" s="138" t="str">
        <f ca="1">IFERROR(__xludf.DUMMYFUNCTION("""COMPUTED_VALUE"""),"Beginner")</f>
        <v>Beginner</v>
      </c>
      <c r="E9" s="139" t="str">
        <f ca="1">IFERROR(__xludf.DUMMYFUNCTION("""COMPUTED_VALUE"""),"Collaboration Principles and Process")</f>
        <v>Collaboration Principles and Process</v>
      </c>
      <c r="F9" s="140" t="str">
        <f ca="1">IFERROR(__xludf.DUMMYFUNCTION("""COMPUTED_VALUE"""),"Advance Your Skills as an Individual Contributor")</f>
        <v>Advance Your Skills as an Individual Contributor</v>
      </c>
      <c r="G9" s="134"/>
      <c r="H9" s="134"/>
      <c r="I9" s="134"/>
      <c r="J9" s="138">
        <f ca="1">IFERROR(__xludf.DUMMYFUNCTION("""COMPUTED_VALUE"""),534584)</f>
        <v>534584</v>
      </c>
      <c r="K9" s="138" t="str">
        <f ca="1">IFERROR(__xludf.DUMMYFUNCTION("""COMPUTED_VALUE"""),"Beginner")</f>
        <v>Beginner</v>
      </c>
      <c r="L9" s="139" t="str">
        <f ca="1">IFERROR(__xludf.DUMMYFUNCTION("""COMPUTED_VALUE"""),"Communicating with Empathy")</f>
        <v>Communicating with Empathy</v>
      </c>
      <c r="M9" s="140" t="str">
        <f ca="1">IFERROR(__xludf.DUMMYFUNCTION("""COMPUTED_VALUE"""),"Visual Communication for Business Professionals")</f>
        <v>Visual Communication for Business Professionals</v>
      </c>
      <c r="N9" s="134"/>
      <c r="O9" s="134"/>
      <c r="P9" s="134"/>
      <c r="Q9" s="138">
        <f ca="1">IFERROR(__xludf.DUMMYFUNCTION("""COMPUTED_VALUE"""),2870084)</f>
        <v>2870084</v>
      </c>
      <c r="R9" s="138" t="str">
        <f ca="1">IFERROR(__xludf.DUMMYFUNCTION("""COMPUTED_VALUE"""),"Beginner")</f>
        <v>Beginner</v>
      </c>
      <c r="S9" s="139" t="str">
        <f ca="1">IFERROR(__xludf.DUMMYFUNCTION("""COMPUTED_VALUE"""),"Dealing with Disappointment in Your Role")</f>
        <v>Dealing with Disappointment in Your Role</v>
      </c>
      <c r="T9" s="141"/>
      <c r="U9" s="134"/>
      <c r="V9" s="134"/>
    </row>
    <row r="10" spans="1:22" ht="33.75" customHeight="1" x14ac:dyDescent="0.15">
      <c r="A10" s="134"/>
      <c r="B10" s="134"/>
      <c r="C10" s="138">
        <f ca="1">IFERROR(__xludf.DUMMYFUNCTION("""COMPUTED_VALUE"""),534584)</f>
        <v>534584</v>
      </c>
      <c r="D10" s="138" t="str">
        <f ca="1">IFERROR(__xludf.DUMMYFUNCTION("""COMPUTED_VALUE"""),"Beginner")</f>
        <v>Beginner</v>
      </c>
      <c r="E10" s="139" t="str">
        <f ca="1">IFERROR(__xludf.DUMMYFUNCTION("""COMPUTED_VALUE"""),"Communicating with Empathy")</f>
        <v>Communicating with Empathy</v>
      </c>
      <c r="F10" s="150" t="str">
        <f ca="1">IFERROR(__xludf.DUMMYFUNCTION("""COMPUTED_VALUE"""),"Building Trust and Collaborating with Others")</f>
        <v>Building Trust and Collaborating with Others</v>
      </c>
      <c r="G10" s="134"/>
      <c r="H10" s="134"/>
      <c r="I10" s="134"/>
      <c r="J10" s="138">
        <f ca="1">IFERROR(__xludf.DUMMYFUNCTION("""COMPUTED_VALUE"""),700790)</f>
        <v>700790</v>
      </c>
      <c r="K10" s="138" t="str">
        <f ca="1">IFERROR(__xludf.DUMMYFUNCTION("""COMPUTED_VALUE"""),"Beginner")</f>
        <v>Beginner</v>
      </c>
      <c r="L10" s="139" t="str">
        <f ca="1">IFERROR(__xludf.DUMMYFUNCTION("""COMPUTED_VALUE"""),"Communication Foundations")</f>
        <v>Communication Foundations</v>
      </c>
      <c r="M10" s="150" t="str">
        <f ca="1">IFERROR(__xludf.DUMMYFUNCTION("""COMPUTED_VALUE"""),"Develop Your Communication and Interpersonal Influence Skills")</f>
        <v>Develop Your Communication and Interpersonal Influence Skills</v>
      </c>
      <c r="N10" s="134"/>
      <c r="O10" s="134"/>
      <c r="P10" s="134"/>
      <c r="Q10" s="138">
        <f ca="1">IFERROR(__xludf.DUMMYFUNCTION("""COMPUTED_VALUE"""),534584)</f>
        <v>534584</v>
      </c>
      <c r="R10" s="138" t="str">
        <f ca="1">IFERROR(__xludf.DUMMYFUNCTION("""COMPUTED_VALUE"""),"Beginner")</f>
        <v>Beginner</v>
      </c>
      <c r="S10" s="139" t="str">
        <f ca="1">IFERROR(__xludf.DUMMYFUNCTION("""COMPUTED_VALUE"""),"Communicating with Empathy")</f>
        <v>Communicating with Empathy</v>
      </c>
      <c r="T10" s="142"/>
      <c r="U10" s="134"/>
      <c r="V10" s="134"/>
    </row>
    <row r="11" spans="1:22" ht="33.75" customHeight="1" x14ac:dyDescent="0.15">
      <c r="A11" s="134"/>
      <c r="B11" s="134"/>
      <c r="C11" s="138">
        <f ca="1">IFERROR(__xludf.DUMMYFUNCTION("""COMPUTED_VALUE"""),633843)</f>
        <v>633843</v>
      </c>
      <c r="D11" s="138" t="str">
        <f ca="1">IFERROR(__xludf.DUMMYFUNCTION("""COMPUTED_VALUE"""),"Beginner")</f>
        <v>Beginner</v>
      </c>
      <c r="E11" s="139" t="str">
        <f ca="1">IFERROR(__xludf.DUMMYFUNCTION("""COMPUTED_VALUE"""),"Communication within Teams")</f>
        <v>Communication within Teams</v>
      </c>
      <c r="F11" s="141"/>
      <c r="G11" s="134"/>
      <c r="H11" s="134"/>
      <c r="I11" s="134"/>
      <c r="J11" s="138">
        <f ca="1">IFERROR(__xludf.DUMMYFUNCTION("""COMPUTED_VALUE"""),633843)</f>
        <v>633843</v>
      </c>
      <c r="K11" s="138" t="str">
        <f ca="1">IFERROR(__xludf.DUMMYFUNCTION("""COMPUTED_VALUE"""),"Beginner")</f>
        <v>Beginner</v>
      </c>
      <c r="L11" s="139" t="str">
        <f ca="1">IFERROR(__xludf.DUMMYFUNCTION("""COMPUTED_VALUE"""),"Communication within Teams")</f>
        <v>Communication within Teams</v>
      </c>
      <c r="M11" s="141"/>
      <c r="N11" s="134"/>
      <c r="O11" s="134"/>
      <c r="P11" s="134"/>
      <c r="Q11" s="138">
        <f ca="1">IFERROR(__xludf.DUMMYFUNCTION("""COMPUTED_VALUE"""),746260)</f>
        <v>746260</v>
      </c>
      <c r="R11" s="138" t="str">
        <f ca="1">IFERROR(__xludf.DUMMYFUNCTION("""COMPUTED_VALUE"""),"Beginner")</f>
        <v>Beginner</v>
      </c>
      <c r="S11" s="139" t="str">
        <f ca="1">IFERROR(__xludf.DUMMYFUNCTION("""COMPUTED_VALUE"""),"Conflict Resolution Foundations")</f>
        <v>Conflict Resolution Foundations</v>
      </c>
      <c r="T11" s="141"/>
      <c r="U11" s="134"/>
      <c r="V11" s="134"/>
    </row>
    <row r="12" spans="1:22" ht="33.75" customHeight="1" x14ac:dyDescent="0.15">
      <c r="A12" s="134"/>
      <c r="B12" s="134"/>
      <c r="C12" s="138">
        <f ca="1">IFERROR(__xludf.DUMMYFUNCTION("""COMPUTED_VALUE"""),622054)</f>
        <v>622054</v>
      </c>
      <c r="D12" s="138" t="str">
        <f ca="1">IFERROR(__xludf.DUMMYFUNCTION("""COMPUTED_VALUE"""),"Beginner")</f>
        <v>Beginner</v>
      </c>
      <c r="E12" s="139" t="str">
        <f ca="1">IFERROR(__xludf.DUMMYFUNCTION("""COMPUTED_VALUE"""),"Developing Self-Awareness")</f>
        <v>Developing Self-Awareness</v>
      </c>
      <c r="F12" s="141"/>
      <c r="G12" s="134"/>
      <c r="H12" s="134"/>
      <c r="I12" s="134"/>
      <c r="J12" s="138">
        <f ca="1">IFERROR(__xludf.DUMMYFUNCTION("""COMPUTED_VALUE"""),176760)</f>
        <v>176760</v>
      </c>
      <c r="K12" s="138" t="str">
        <f ca="1">IFERROR(__xludf.DUMMYFUNCTION("""COMPUTED_VALUE"""),"Beginner")</f>
        <v>Beginner</v>
      </c>
      <c r="L12" s="139" t="str">
        <f ca="1">IFERROR(__xludf.DUMMYFUNCTION("""COMPUTED_VALUE"""),"Effective Listening")</f>
        <v>Effective Listening</v>
      </c>
      <c r="M12" s="141"/>
      <c r="N12" s="134"/>
      <c r="O12" s="134"/>
      <c r="P12" s="134"/>
      <c r="Q12" s="138">
        <f ca="1">IFERROR(__xludf.DUMMYFUNCTION("""COMPUTED_VALUE"""),423244)</f>
        <v>423244</v>
      </c>
      <c r="R12" s="138" t="str">
        <f ca="1">IFERROR(__xludf.DUMMYFUNCTION("""COMPUTED_VALUE"""),"Beginner")</f>
        <v>Beginner</v>
      </c>
      <c r="S12" s="139" t="str">
        <f ca="1">IFERROR(__xludf.DUMMYFUNCTION("""COMPUTED_VALUE"""),"Fred Kofman on Managing Conflict")</f>
        <v>Fred Kofman on Managing Conflict</v>
      </c>
      <c r="T12" s="141"/>
      <c r="U12" s="134"/>
      <c r="V12" s="134"/>
    </row>
    <row r="13" spans="1:22" ht="33.75" customHeight="1" x14ac:dyDescent="0.15">
      <c r="A13" s="134"/>
      <c r="B13" s="134"/>
      <c r="C13" s="138">
        <f ca="1">IFERROR(__xludf.DUMMYFUNCTION("""COMPUTED_VALUE"""),570966)</f>
        <v>570966</v>
      </c>
      <c r="D13" s="138" t="str">
        <f ca="1">IFERROR(__xludf.DUMMYFUNCTION("""COMPUTED_VALUE"""),"Beginner")</f>
        <v>Beginner</v>
      </c>
      <c r="E13" s="139" t="str">
        <f ca="1">IFERROR(__xludf.DUMMYFUNCTION("""COMPUTED_VALUE"""),"Developing Your Emotional Intelligence")</f>
        <v>Developing Your Emotional Intelligence</v>
      </c>
      <c r="F13" s="142"/>
      <c r="G13" s="134"/>
      <c r="H13" s="134"/>
      <c r="I13" s="134"/>
      <c r="J13" s="138">
        <f ca="1">IFERROR(__xludf.DUMMYFUNCTION("""COMPUTED_VALUE"""),148625)</f>
        <v>148625</v>
      </c>
      <c r="K13" s="138" t="str">
        <f ca="1">IFERROR(__xludf.DUMMYFUNCTION("""COMPUTED_VALUE"""),"Beginner")</f>
        <v>Beginner</v>
      </c>
      <c r="L13" s="139" t="str">
        <f ca="1">IFERROR(__xludf.DUMMYFUNCTION("""COMPUTED_VALUE"""),"Influencing Others")</f>
        <v>Influencing Others</v>
      </c>
      <c r="M13" s="142"/>
      <c r="N13" s="134"/>
      <c r="O13" s="134"/>
      <c r="P13" s="134"/>
      <c r="Q13" s="138">
        <f ca="1">IFERROR(__xludf.DUMMYFUNCTION("""COMPUTED_VALUE"""),746303)</f>
        <v>746303</v>
      </c>
      <c r="R13" s="138" t="str">
        <f ca="1">IFERROR(__xludf.DUMMYFUNCTION("""COMPUTED_VALUE"""),"Beginner")</f>
        <v>Beginner</v>
      </c>
      <c r="S13" s="139" t="str">
        <f ca="1">IFERROR(__xludf.DUMMYFUNCTION("""COMPUTED_VALUE"""),"Having Difficult Conversations")</f>
        <v>Having Difficult Conversations</v>
      </c>
      <c r="T13" s="142"/>
      <c r="U13" s="134"/>
      <c r="V13" s="134"/>
    </row>
    <row r="14" spans="1:22" ht="33.75" customHeight="1" x14ac:dyDescent="0.15">
      <c r="A14" s="134"/>
      <c r="B14" s="134"/>
      <c r="C14" s="138">
        <f ca="1">IFERROR(__xludf.DUMMYFUNCTION("""COMPUTED_VALUE"""),570965)</f>
        <v>570965</v>
      </c>
      <c r="D14" s="138" t="str">
        <f ca="1">IFERROR(__xludf.DUMMYFUNCTION("""COMPUTED_VALUE"""),"Beginner")</f>
        <v>Beginner</v>
      </c>
      <c r="E14" s="139" t="str">
        <f ca="1">IFERROR(__xludf.DUMMYFUNCTION("""COMPUTED_VALUE"""),"Developing Your Professional Image")</f>
        <v>Developing Your Professional Image</v>
      </c>
      <c r="F14" s="141"/>
      <c r="G14" s="134"/>
      <c r="H14" s="134"/>
      <c r="I14" s="134"/>
      <c r="J14" s="138">
        <f ca="1">IFERROR(__xludf.DUMMYFUNCTION("""COMPUTED_VALUE"""),580627)</f>
        <v>580627</v>
      </c>
      <c r="K14" s="138" t="str">
        <f ca="1">IFERROR(__xludf.DUMMYFUNCTION("""COMPUTED_VALUE"""),"Beginner")</f>
        <v>Beginner</v>
      </c>
      <c r="L14" s="139" t="str">
        <f ca="1">IFERROR(__xludf.DUMMYFUNCTION("""COMPUTED_VALUE"""),"Interpersonal Communication")</f>
        <v>Interpersonal Communication</v>
      </c>
      <c r="M14" s="141"/>
      <c r="N14" s="134"/>
      <c r="O14" s="134"/>
      <c r="P14" s="134"/>
      <c r="Q14" s="138">
        <f ca="1">IFERROR(__xludf.DUMMYFUNCTION("""COMPUTED_VALUE"""),180863)</f>
        <v>180863</v>
      </c>
      <c r="R14" s="138" t="str">
        <f ca="1">IFERROR(__xludf.DUMMYFUNCTION("""COMPUTED_VALUE"""),"Beginner")</f>
        <v>Beginner</v>
      </c>
      <c r="S14" s="139" t="str">
        <f ca="1">IFERROR(__xludf.DUMMYFUNCTION("""COMPUTED_VALUE"""),"Improving Your Conflict Competence")</f>
        <v>Improving Your Conflict Competence</v>
      </c>
      <c r="T14" s="141"/>
      <c r="U14" s="134"/>
      <c r="V14" s="134"/>
    </row>
    <row r="15" spans="1:22" ht="33.75" customHeight="1" x14ac:dyDescent="0.15">
      <c r="A15" s="134"/>
      <c r="B15" s="134"/>
      <c r="C15" s="138">
        <f ca="1">IFERROR(__xludf.DUMMYFUNCTION("""COMPUTED_VALUE"""),176760)</f>
        <v>176760</v>
      </c>
      <c r="D15" s="138" t="str">
        <f ca="1">IFERROR(__xludf.DUMMYFUNCTION("""COMPUTED_VALUE"""),"Beginner")</f>
        <v>Beginner</v>
      </c>
      <c r="E15" s="139" t="str">
        <f ca="1">IFERROR(__xludf.DUMMYFUNCTION("""COMPUTED_VALUE"""),"Effective Listening")</f>
        <v>Effective Listening</v>
      </c>
      <c r="F15" s="141"/>
      <c r="G15" s="134"/>
      <c r="H15" s="134"/>
      <c r="I15" s="134"/>
      <c r="J15" s="138">
        <f ca="1">IFERROR(__xludf.DUMMYFUNCTION("""COMPUTED_VALUE"""),653219)</f>
        <v>653219</v>
      </c>
      <c r="K15" s="138" t="str">
        <f ca="1">IFERROR(__xludf.DUMMYFUNCTION("""COMPUTED_VALUE"""),"Beginner")</f>
        <v>Beginner</v>
      </c>
      <c r="L15" s="139" t="str">
        <f ca="1">IFERROR(__xludf.DUMMYFUNCTION("""COMPUTED_VALUE"""),"Learning to Be Approachable")</f>
        <v>Learning to Be Approachable</v>
      </c>
      <c r="M15" s="141"/>
      <c r="N15" s="134"/>
      <c r="O15" s="134"/>
      <c r="P15" s="134"/>
      <c r="Q15" s="138">
        <f ca="1">IFERROR(__xludf.DUMMYFUNCTION("""COMPUTED_VALUE"""),564548)</f>
        <v>564548</v>
      </c>
      <c r="R15" s="138" t="str">
        <f ca="1">IFERROR(__xludf.DUMMYFUNCTION("""COMPUTED_VALUE"""),"Beginner")</f>
        <v>Beginner</v>
      </c>
      <c r="S15" s="139" t="str">
        <f ca="1">IFERROR(__xludf.DUMMYFUNCTION("""COMPUTED_VALUE"""),"Jeff Weiner on Managing Compassionately")</f>
        <v>Jeff Weiner on Managing Compassionately</v>
      </c>
      <c r="T15" s="141"/>
      <c r="U15" s="134"/>
      <c r="V15" s="134"/>
    </row>
    <row r="16" spans="1:22" ht="33.75" customHeight="1" x14ac:dyDescent="0.15">
      <c r="A16" s="134"/>
      <c r="B16" s="134"/>
      <c r="C16" s="138">
        <f ca="1">IFERROR(__xludf.DUMMYFUNCTION("""COMPUTED_VALUE"""),580627)</f>
        <v>580627</v>
      </c>
      <c r="D16" s="138" t="str">
        <f ca="1">IFERROR(__xludf.DUMMYFUNCTION("""COMPUTED_VALUE"""),"Beginner")</f>
        <v>Beginner</v>
      </c>
      <c r="E16" s="139" t="str">
        <f ca="1">IFERROR(__xludf.DUMMYFUNCTION("""COMPUTED_VALUE"""),"Interpersonal Communication")</f>
        <v>Interpersonal Communication</v>
      </c>
      <c r="F16" s="141"/>
      <c r="G16" s="134"/>
      <c r="H16" s="134"/>
      <c r="I16" s="134"/>
      <c r="J16" s="138">
        <f ca="1">IFERROR(__xludf.DUMMYFUNCTION("""COMPUTED_VALUE"""),482051)</f>
        <v>482051</v>
      </c>
      <c r="K16" s="138" t="str">
        <f ca="1">IFERROR(__xludf.DUMMYFUNCTION("""COMPUTED_VALUE"""),"Beginner")</f>
        <v>Beginner</v>
      </c>
      <c r="L16" s="139" t="str">
        <f ca="1">IFERROR(__xludf.DUMMYFUNCTION("""COMPUTED_VALUE"""),"Managing Office Politics")</f>
        <v>Managing Office Politics</v>
      </c>
      <c r="M16" s="141"/>
      <c r="N16" s="134"/>
      <c r="O16" s="134"/>
      <c r="P16" s="134"/>
      <c r="Q16" s="138">
        <f ca="1">IFERROR(__xludf.DUMMYFUNCTION("""COMPUTED_VALUE"""),2825336)</f>
        <v>2825336</v>
      </c>
      <c r="R16" s="138" t="str">
        <f ca="1">IFERROR(__xludf.DUMMYFUNCTION("""COMPUTED_VALUE"""),"Beginner")</f>
        <v>Beginner</v>
      </c>
      <c r="S16" s="139" t="str">
        <f ca="1">IFERROR(__xludf.DUMMYFUNCTION("""COMPUTED_VALUE"""),"Dealing with Difficult People in Your Office")</f>
        <v>Dealing with Difficult People in Your Office</v>
      </c>
      <c r="T16" s="141"/>
      <c r="U16" s="134"/>
      <c r="V16" s="134"/>
    </row>
    <row r="17" spans="1:22" ht="33.75" customHeight="1" x14ac:dyDescent="0.15">
      <c r="A17" s="134"/>
      <c r="B17" s="134"/>
      <c r="C17" s="138">
        <f ca="1">IFERROR(__xludf.DUMMYFUNCTION("""COMPUTED_VALUE"""),784280)</f>
        <v>784280</v>
      </c>
      <c r="D17" s="138" t="str">
        <f ca="1">IFERROR(__xludf.DUMMYFUNCTION("""COMPUTED_VALUE"""),"Beginner")</f>
        <v>Beginner</v>
      </c>
      <c r="E17" s="139" t="str">
        <f ca="1">IFERROR(__xludf.DUMMYFUNCTION("""COMPUTED_VALUE"""),"Leading Inclusive Teams")</f>
        <v>Leading Inclusive Teams</v>
      </c>
      <c r="F17" s="141"/>
      <c r="G17" s="134"/>
      <c r="H17" s="134"/>
      <c r="I17" s="134"/>
      <c r="J17" s="138">
        <f ca="1">IFERROR(__xludf.DUMMYFUNCTION("""COMPUTED_VALUE"""),693068)</f>
        <v>693068</v>
      </c>
      <c r="K17" s="138" t="str">
        <f ca="1">IFERROR(__xludf.DUMMYFUNCTION("""COMPUTED_VALUE"""),"Beginner")</f>
        <v>Beginner</v>
      </c>
      <c r="L17" s="139" t="str">
        <f ca="1">IFERROR(__xludf.DUMMYFUNCTION("""COMPUTED_VALUE"""),"Negotiation Foundations")</f>
        <v>Negotiation Foundations</v>
      </c>
      <c r="M17" s="141"/>
      <c r="N17" s="134"/>
      <c r="O17" s="134"/>
      <c r="P17" s="134"/>
      <c r="Q17" s="138">
        <f ca="1">IFERROR(__xludf.DUMMYFUNCTION("""COMPUTED_VALUE"""),2815033)</f>
        <v>2815033</v>
      </c>
      <c r="R17" s="138" t="str">
        <f ca="1">IFERROR(__xludf.DUMMYFUNCTION("""COMPUTED_VALUE"""),"Beginner + Intermediate")</f>
        <v>Beginner + Intermediate</v>
      </c>
      <c r="S17" s="139" t="str">
        <f ca="1">IFERROR(__xludf.DUMMYFUNCTION("""COMPUTED_VALUE"""),"Mixtape: Highlights from LinkedIn Learning Courses")</f>
        <v>Mixtape: Highlights from LinkedIn Learning Courses</v>
      </c>
      <c r="T17" s="141"/>
      <c r="U17" s="134"/>
      <c r="V17" s="134"/>
    </row>
    <row r="18" spans="1:22" ht="33.75" customHeight="1" x14ac:dyDescent="0.15">
      <c r="A18" s="134"/>
      <c r="B18" s="134"/>
      <c r="C18" s="138">
        <f ca="1">IFERROR(__xludf.DUMMYFUNCTION("""COMPUTED_VALUE"""),466176)</f>
        <v>466176</v>
      </c>
      <c r="D18" s="138" t="str">
        <f ca="1">IFERROR(__xludf.DUMMYFUNCTION("""COMPUTED_VALUE"""),"Beginner")</f>
        <v>Beginner</v>
      </c>
      <c r="E18" s="139" t="str">
        <f ca="1">IFERROR(__xludf.DUMMYFUNCTION("""COMPUTED_VALUE"""),"Professional Networking")</f>
        <v>Professional Networking</v>
      </c>
      <c r="F18" s="141"/>
      <c r="G18" s="134"/>
      <c r="H18" s="134"/>
      <c r="I18" s="134"/>
      <c r="J18" s="138">
        <f ca="1">IFERROR(__xludf.DUMMYFUNCTION("""COMPUTED_VALUE"""),553701)</f>
        <v>553701</v>
      </c>
      <c r="K18" s="138" t="str">
        <f ca="1">IFERROR(__xludf.DUMMYFUNCTION("""COMPUTED_VALUE"""),"Beginner")</f>
        <v>Beginner</v>
      </c>
      <c r="L18" s="139" t="str">
        <f ca="1">IFERROR(__xludf.DUMMYFUNCTION("""COMPUTED_VALUE"""),"Negotiation Skills")</f>
        <v>Negotiation Skills</v>
      </c>
      <c r="M18" s="141"/>
      <c r="N18" s="134"/>
      <c r="O18" s="134"/>
      <c r="P18" s="134"/>
      <c r="Q18" s="138">
        <f ca="1">IFERROR(__xludf.DUMMYFUNCTION("""COMPUTED_VALUE"""),2825157)</f>
        <v>2825157</v>
      </c>
      <c r="R18" s="138" t="str">
        <f ca="1">IFERROR(__xludf.DUMMYFUNCTION("""COMPUTED_VALUE"""),"Beginner + Intermediate")</f>
        <v>Beginner + Intermediate</v>
      </c>
      <c r="S18" s="139" t="str">
        <f ca="1">IFERROR(__xludf.DUMMYFUNCTION("""COMPUTED_VALUE"""),"Difficult Situations: Solutions for Managers")</f>
        <v>Difficult Situations: Solutions for Managers</v>
      </c>
      <c r="T18" s="141"/>
      <c r="U18" s="134"/>
      <c r="V18" s="134"/>
    </row>
    <row r="19" spans="1:22" ht="33.75" customHeight="1" x14ac:dyDescent="0.15">
      <c r="A19" s="134"/>
      <c r="B19" s="134"/>
      <c r="C19" s="138">
        <f ca="1">IFERROR(__xludf.DUMMYFUNCTION("""COMPUTED_VALUE"""),624206)</f>
        <v>624206</v>
      </c>
      <c r="D19" s="138" t="str">
        <f ca="1">IFERROR(__xludf.DUMMYFUNCTION("""COMPUTED_VALUE"""),"Beginner")</f>
        <v>Beginner</v>
      </c>
      <c r="E19" s="139" t="str">
        <f ca="1">IFERROR(__xludf.DUMMYFUNCTION("""COMPUTED_VALUE"""),"Working on a Cross-Functional Team")</f>
        <v>Working on a Cross-Functional Team</v>
      </c>
      <c r="F19" s="141"/>
      <c r="G19" s="134"/>
      <c r="H19" s="134"/>
      <c r="I19" s="134"/>
      <c r="J19" s="138">
        <f ca="1">IFERROR(__xludf.DUMMYFUNCTION("""COMPUTED_VALUE"""),370569)</f>
        <v>370569</v>
      </c>
      <c r="K19" s="138" t="str">
        <f ca="1">IFERROR(__xludf.DUMMYFUNCTION("""COMPUTED_VALUE"""),"Beginner")</f>
        <v>Beginner</v>
      </c>
      <c r="L19" s="139" t="str">
        <f ca="1">IFERROR(__xludf.DUMMYFUNCTION("""COMPUTED_VALUE"""),"Organization Communication")</f>
        <v>Organization Communication</v>
      </c>
      <c r="M19" s="141"/>
      <c r="N19" s="134"/>
      <c r="O19" s="134"/>
      <c r="P19" s="134"/>
      <c r="Q19" s="138">
        <f ca="1">IFERROR(__xludf.DUMMYFUNCTION("""COMPUTED_VALUE"""),622052)</f>
        <v>622052</v>
      </c>
      <c r="R19" s="138" t="str">
        <f ca="1">IFERROR(__xludf.DUMMYFUNCTION("""COMPUTED_VALUE"""),"Beginner + Intermediate")</f>
        <v>Beginner + Intermediate</v>
      </c>
      <c r="S19" s="139" t="str">
        <f ca="1">IFERROR(__xludf.DUMMYFUNCTION("""COMPUTED_VALUE"""),"Delivering Bad News Effectively")</f>
        <v>Delivering Bad News Effectively</v>
      </c>
      <c r="T19" s="141"/>
      <c r="U19" s="134"/>
      <c r="V19" s="134"/>
    </row>
    <row r="20" spans="1:22" ht="33.75" customHeight="1" x14ac:dyDescent="0.15">
      <c r="A20" s="134"/>
      <c r="B20" s="134"/>
      <c r="C20" s="138">
        <f ca="1">IFERROR(__xludf.DUMMYFUNCTION("""COMPUTED_VALUE"""),2808545)</f>
        <v>2808545</v>
      </c>
      <c r="D20" s="138" t="str">
        <f ca="1">IFERROR(__xludf.DUMMYFUNCTION("""COMPUTED_VALUE"""),"Beginner")</f>
        <v>Beginner</v>
      </c>
      <c r="E20" s="139" t="str">
        <f ca="1">IFERROR(__xludf.DUMMYFUNCTION("""COMPUTED_VALUE"""),"Women Transforming Tech: Networking")</f>
        <v>Women Transforming Tech: Networking</v>
      </c>
      <c r="F20" s="141"/>
      <c r="G20" s="134"/>
      <c r="H20" s="134"/>
      <c r="I20" s="134"/>
      <c r="J20" s="138">
        <f ca="1">IFERROR(__xludf.DUMMYFUNCTION("""COMPUTED_VALUE"""),578056)</f>
        <v>578056</v>
      </c>
      <c r="K20" s="138" t="str">
        <f ca="1">IFERROR(__xludf.DUMMYFUNCTION("""COMPUTED_VALUE"""),"Beginner")</f>
        <v>Beginner</v>
      </c>
      <c r="L20" s="139" t="str">
        <f ca="1">IFERROR(__xludf.DUMMYFUNCTION("""COMPUTED_VALUE"""),"Persuading Others")</f>
        <v>Persuading Others</v>
      </c>
      <c r="M20" s="141"/>
      <c r="N20" s="134"/>
      <c r="O20" s="134"/>
      <c r="P20" s="134"/>
      <c r="Q20" s="138">
        <f ca="1">IFERROR(__xludf.DUMMYFUNCTION("""COMPUTED_VALUE"""),176760)</f>
        <v>176760</v>
      </c>
      <c r="R20" s="138" t="str">
        <f ca="1">IFERROR(__xludf.DUMMYFUNCTION("""COMPUTED_VALUE"""),"Beginner + Intermediate")</f>
        <v>Beginner + Intermediate</v>
      </c>
      <c r="S20" s="139" t="str">
        <f ca="1">IFERROR(__xludf.DUMMYFUNCTION("""COMPUTED_VALUE"""),"Effective Listening")</f>
        <v>Effective Listening</v>
      </c>
      <c r="T20" s="141"/>
      <c r="U20" s="134"/>
      <c r="V20" s="134"/>
    </row>
    <row r="21" spans="1:22" ht="33.75" customHeight="1" x14ac:dyDescent="0.15">
      <c r="A21" s="134"/>
      <c r="B21" s="134"/>
      <c r="C21" s="138">
        <f ca="1">IFERROR(__xludf.DUMMYFUNCTION("""COMPUTED_VALUE"""),2813144)</f>
        <v>2813144</v>
      </c>
      <c r="D21" s="138" t="str">
        <f ca="1">IFERROR(__xludf.DUMMYFUNCTION("""COMPUTED_VALUE"""),"Beginner")</f>
        <v>Beginner</v>
      </c>
      <c r="E21" s="139" t="str">
        <f ca="1">IFERROR(__xludf.DUMMYFUNCTION("""COMPUTED_VALUE"""),"Social Success at Work")</f>
        <v>Social Success at Work</v>
      </c>
      <c r="F21" s="141"/>
      <c r="G21" s="134"/>
      <c r="H21" s="134"/>
      <c r="I21" s="134"/>
      <c r="J21" s="138">
        <f ca="1">IFERROR(__xludf.DUMMYFUNCTION("""COMPUTED_VALUE"""),2805907)</f>
        <v>2805907</v>
      </c>
      <c r="K21" s="138" t="str">
        <f ca="1">IFERROR(__xludf.DUMMYFUNCTION("""COMPUTED_VALUE"""),"Beginner")</f>
        <v>Beginner</v>
      </c>
      <c r="L21" s="139" t="str">
        <f ca="1">IFERROR(__xludf.DUMMYFUNCTION("""COMPUTED_VALUE"""),"Women Transforming Tech: Finding Sponsors")</f>
        <v>Women Transforming Tech: Finding Sponsors</v>
      </c>
      <c r="M21" s="141"/>
      <c r="N21" s="134"/>
      <c r="O21" s="134"/>
      <c r="P21" s="134"/>
      <c r="Q21" s="138">
        <f ca="1">IFERROR(__xludf.DUMMYFUNCTION("""COMPUTED_VALUE"""),2242042)</f>
        <v>2242042</v>
      </c>
      <c r="R21" s="138" t="str">
        <f ca="1">IFERROR(__xludf.DUMMYFUNCTION("""COMPUTED_VALUE"""),"General")</f>
        <v>General</v>
      </c>
      <c r="S21" s="139" t="str">
        <f ca="1">IFERROR(__xludf.DUMMYFUNCTION("""COMPUTED_VALUE"""),"Managing Conflict: A Practical Guide to Resolution in the Workplace (getAbstract Summary)")</f>
        <v>Managing Conflict: A Practical Guide to Resolution in the Workplace (getAbstract Summary)</v>
      </c>
      <c r="T21" s="141"/>
      <c r="U21" s="134"/>
      <c r="V21" s="134"/>
    </row>
    <row r="22" spans="1:22" ht="33.75" customHeight="1" x14ac:dyDescent="0.15">
      <c r="A22" s="134"/>
      <c r="B22" s="134"/>
      <c r="C22" s="138">
        <f ca="1">IFERROR(__xludf.DUMMYFUNCTION("""COMPUTED_VALUE"""),2822315)</f>
        <v>2822315</v>
      </c>
      <c r="D22" s="138" t="str">
        <f ca="1">IFERROR(__xludf.DUMMYFUNCTION("""COMPUTED_VALUE"""),"Beginner")</f>
        <v>Beginner</v>
      </c>
      <c r="E22" s="139" t="str">
        <f ca="1">IFERROR(__xludf.DUMMYFUNCTION("""COMPUTED_VALUE"""),"The Surprising Power of Seeing People as People")</f>
        <v>The Surprising Power of Seeing People as People</v>
      </c>
      <c r="F22" s="141"/>
      <c r="G22" s="134"/>
      <c r="H22" s="134"/>
      <c r="I22" s="134"/>
      <c r="J22" s="138">
        <f ca="1">IFERROR(__xludf.DUMMYFUNCTION("""COMPUTED_VALUE"""),2807858)</f>
        <v>2807858</v>
      </c>
      <c r="K22" s="138" t="str">
        <f ca="1">IFERROR(__xludf.DUMMYFUNCTION("""COMPUTED_VALUE"""),"Beginner")</f>
        <v>Beginner</v>
      </c>
      <c r="L22" s="139" t="str">
        <f ca="1">IFERROR(__xludf.DUMMYFUNCTION("""COMPUTED_VALUE"""),"Women Transforming Tech: Getting Strategic with Your Career")</f>
        <v>Women Transforming Tech: Getting Strategic with Your Career</v>
      </c>
      <c r="M22" s="141"/>
      <c r="N22" s="134"/>
      <c r="O22" s="134"/>
      <c r="P22" s="134"/>
      <c r="Q22" s="138">
        <f ca="1">IFERROR(__xludf.DUMMYFUNCTION("""COMPUTED_VALUE"""),2241055)</f>
        <v>2241055</v>
      </c>
      <c r="R22" s="138" t="str">
        <f ca="1">IFERROR(__xludf.DUMMYFUNCTION("""COMPUTED_VALUE"""),"General")</f>
        <v>General</v>
      </c>
      <c r="S22" s="139" t="str">
        <f ca="1">IFERROR(__xludf.DUMMYFUNCTION("""COMPUTED_VALUE"""),"Going to Extremes: How Like Minds Unite and Divide (getAbstract Summary)")</f>
        <v>Going to Extremes: How Like Minds Unite and Divide (getAbstract Summary)</v>
      </c>
      <c r="T22" s="141"/>
      <c r="U22" s="134"/>
      <c r="V22" s="134"/>
    </row>
    <row r="23" spans="1:22" ht="33.75" customHeight="1" x14ac:dyDescent="0.15">
      <c r="A23" s="134"/>
      <c r="B23" s="134"/>
      <c r="C23" s="138">
        <f ca="1">IFERROR(__xludf.DUMMYFUNCTION("""COMPUTED_VALUE"""),2825494)</f>
        <v>2825494</v>
      </c>
      <c r="D23" s="138" t="str">
        <f ca="1">IFERROR(__xludf.DUMMYFUNCTION("""COMPUTED_VALUE"""),"Beginner")</f>
        <v>Beginner</v>
      </c>
      <c r="E23" s="139" t="str">
        <f ca="1">IFERROR(__xludf.DUMMYFUNCTION("""COMPUTED_VALUE"""),"Creating a Culture of Learning")</f>
        <v>Creating a Culture of Learning</v>
      </c>
      <c r="F23" s="141"/>
      <c r="G23" s="134"/>
      <c r="H23" s="134"/>
      <c r="I23" s="134"/>
      <c r="J23" s="138">
        <f ca="1">IFERROR(__xludf.DUMMYFUNCTION("""COMPUTED_VALUE"""),2807859)</f>
        <v>2807859</v>
      </c>
      <c r="K23" s="138" t="str">
        <f ca="1">IFERROR(__xludf.DUMMYFUNCTION("""COMPUTED_VALUE"""),"Beginner")</f>
        <v>Beginner</v>
      </c>
      <c r="L23" s="139" t="str">
        <f ca="1">IFERROR(__xludf.DUMMYFUNCTION("""COMPUTED_VALUE"""),"Women Transforming Tech: Voices from the Field")</f>
        <v>Women Transforming Tech: Voices from the Field</v>
      </c>
      <c r="M23" s="141"/>
      <c r="N23" s="134"/>
      <c r="O23" s="134"/>
      <c r="P23" s="134"/>
      <c r="Q23" s="138">
        <f ca="1">IFERROR(__xludf.DUMMYFUNCTION("""COMPUTED_VALUE"""),2832037)</f>
        <v>2832037</v>
      </c>
      <c r="R23" s="138" t="str">
        <f ca="1">IFERROR(__xludf.DUMMYFUNCTION("""COMPUTED_VALUE"""),"General")</f>
        <v>General</v>
      </c>
      <c r="S23" s="139" t="str">
        <f ca="1">IFERROR(__xludf.DUMMYFUNCTION("""COMPUTED_VALUE"""),"Leading in Crisis")</f>
        <v>Leading in Crisis</v>
      </c>
      <c r="T23" s="141"/>
      <c r="U23" s="134"/>
      <c r="V23" s="134"/>
    </row>
    <row r="24" spans="1:22" ht="33.75" customHeight="1" x14ac:dyDescent="0.15">
      <c r="A24" s="134"/>
      <c r="B24" s="134"/>
      <c r="C24" s="138">
        <f ca="1">IFERROR(__xludf.DUMMYFUNCTION("""COMPUTED_VALUE"""),2823195)</f>
        <v>2823195</v>
      </c>
      <c r="D24" s="138" t="str">
        <f ca="1">IFERROR(__xludf.DUMMYFUNCTION("""COMPUTED_VALUE"""),"Beginner")</f>
        <v>Beginner</v>
      </c>
      <c r="E24" s="139" t="str">
        <f ca="1">IFERROR(__xludf.DUMMYFUNCTION("""COMPUTED_VALUE"""),"Teamwork Foundations")</f>
        <v>Teamwork Foundations</v>
      </c>
      <c r="F24" s="141"/>
      <c r="G24" s="134"/>
      <c r="H24" s="134"/>
      <c r="I24" s="134"/>
      <c r="J24" s="138">
        <f ca="1">IFERROR(__xludf.DUMMYFUNCTION("""COMPUTED_VALUE"""),2808545)</f>
        <v>2808545</v>
      </c>
      <c r="K24" s="138" t="str">
        <f ca="1">IFERROR(__xludf.DUMMYFUNCTION("""COMPUTED_VALUE"""),"Beginner")</f>
        <v>Beginner</v>
      </c>
      <c r="L24" s="139" t="str">
        <f ca="1">IFERROR(__xludf.DUMMYFUNCTION("""COMPUTED_VALUE"""),"Women Transforming Tech: Networking")</f>
        <v>Women Transforming Tech: Networking</v>
      </c>
      <c r="M24" s="141"/>
      <c r="N24" s="134"/>
      <c r="O24" s="134"/>
      <c r="P24" s="134"/>
      <c r="Q24" s="138">
        <f ca="1">IFERROR(__xludf.DUMMYFUNCTION("""COMPUTED_VALUE"""),2838111)</f>
        <v>2838111</v>
      </c>
      <c r="R24" s="138" t="str">
        <f ca="1">IFERROR(__xludf.DUMMYFUNCTION("""COMPUTED_VALUE"""),"General")</f>
        <v>General</v>
      </c>
      <c r="S24" s="139" t="str">
        <f ca="1">IFERROR(__xludf.DUMMYFUNCTION("""COMPUTED_VALUE"""),"Marketing During a Crisis")</f>
        <v>Marketing During a Crisis</v>
      </c>
      <c r="T24" s="141"/>
      <c r="U24" s="134"/>
      <c r="V24" s="134"/>
    </row>
    <row r="25" spans="1:22" ht="33.75" customHeight="1" x14ac:dyDescent="0.15">
      <c r="A25" s="134"/>
      <c r="B25" s="134"/>
      <c r="C25" s="138">
        <f ca="1">IFERROR(__xludf.DUMMYFUNCTION("""COMPUTED_VALUE"""),2848272)</f>
        <v>2848272</v>
      </c>
      <c r="D25" s="138" t="str">
        <f ca="1">IFERROR(__xludf.DUMMYFUNCTION("""COMPUTED_VALUE"""),"Beginner")</f>
        <v>Beginner</v>
      </c>
      <c r="E25" s="139" t="str">
        <f ca="1">IFERROR(__xludf.DUMMYFUNCTION("""COMPUTED_VALUE"""),"Inclusive Mindset for Committed Allies")</f>
        <v>Inclusive Mindset for Committed Allies</v>
      </c>
      <c r="F25" s="141"/>
      <c r="G25" s="134"/>
      <c r="H25" s="134"/>
      <c r="I25" s="134"/>
      <c r="J25" s="138">
        <f ca="1">IFERROR(__xludf.DUMMYFUNCTION("""COMPUTED_VALUE"""),2812533)</f>
        <v>2812533</v>
      </c>
      <c r="K25" s="138" t="str">
        <f ca="1">IFERROR(__xludf.DUMMYFUNCTION("""COMPUTED_VALUE"""),"Beginner")</f>
        <v>Beginner</v>
      </c>
      <c r="L25" s="139" t="str">
        <f ca="1">IFERROR(__xludf.DUMMYFUNCTION("""COMPUTED_VALUE"""),"Own Your Voice: Improve Presentations and Executive Presence")</f>
        <v>Own Your Voice: Improve Presentations and Executive Presence</v>
      </c>
      <c r="M25" s="141"/>
      <c r="N25" s="134"/>
      <c r="O25" s="134"/>
      <c r="P25" s="134"/>
      <c r="Q25" s="138">
        <f ca="1">IFERROR(__xludf.DUMMYFUNCTION("""COMPUTED_VALUE"""),2819030)</f>
        <v>2819030</v>
      </c>
      <c r="R25" s="138" t="str">
        <f ca="1">IFERROR(__xludf.DUMMYFUNCTION("""COMPUTED_VALUE"""),"General")</f>
        <v>General</v>
      </c>
      <c r="S25" s="139" t="str">
        <f ca="1">IFERROR(__xludf.DUMMYFUNCTION("""COMPUTED_VALUE"""),"How to Give Negative Feedback to Senior Colleagues")</f>
        <v>How to Give Negative Feedback to Senior Colleagues</v>
      </c>
      <c r="T25" s="141"/>
      <c r="U25" s="134"/>
      <c r="V25" s="134"/>
    </row>
    <row r="26" spans="1:22" ht="33.75" customHeight="1" x14ac:dyDescent="0.15">
      <c r="A26" s="134"/>
      <c r="B26" s="134"/>
      <c r="C26" s="138">
        <f ca="1">IFERROR(__xludf.DUMMYFUNCTION("""COMPUTED_VALUE"""),2315934)</f>
        <v>2315934</v>
      </c>
      <c r="D26" s="138" t="str">
        <f ca="1">IFERROR(__xludf.DUMMYFUNCTION("""COMPUTED_VALUE"""),"Beginner + Intermediate")</f>
        <v>Beginner + Intermediate</v>
      </c>
      <c r="E26" s="139" t="str">
        <f ca="1">IFERROR(__xludf.DUMMYFUNCTION("""COMPUTED_VALUE"""),"Supporting a Grieving Employee: A Manager's Guide")</f>
        <v>Supporting a Grieving Employee: A Manager's Guide</v>
      </c>
      <c r="F26" s="141"/>
      <c r="G26" s="134"/>
      <c r="H26" s="134"/>
      <c r="I26" s="134"/>
      <c r="J26" s="138">
        <f ca="1">IFERROR(__xludf.DUMMYFUNCTION("""COMPUTED_VALUE"""),2813144)</f>
        <v>2813144</v>
      </c>
      <c r="K26" s="138" t="str">
        <f ca="1">IFERROR(__xludf.DUMMYFUNCTION("""COMPUTED_VALUE"""),"Beginner")</f>
        <v>Beginner</v>
      </c>
      <c r="L26" s="139" t="str">
        <f ca="1">IFERROR(__xludf.DUMMYFUNCTION("""COMPUTED_VALUE"""),"Social Success at Work")</f>
        <v>Social Success at Work</v>
      </c>
      <c r="M26" s="141"/>
      <c r="N26" s="134"/>
      <c r="O26" s="134"/>
      <c r="P26" s="134"/>
      <c r="Q26" s="138">
        <f ca="1">IFERROR(__xludf.DUMMYFUNCTION("""COMPUTED_VALUE"""),2878126)</f>
        <v>2878126</v>
      </c>
      <c r="R26" s="138" t="str">
        <f ca="1">IFERROR(__xludf.DUMMYFUNCTION("""COMPUTED_VALUE"""),"General")</f>
        <v>General</v>
      </c>
      <c r="S26" s="139" t="str">
        <f ca="1">IFERROR(__xludf.DUMMYFUNCTION("""COMPUTED_VALUE"""),"Difficult Conversations about Politics at Work")</f>
        <v>Difficult Conversations about Politics at Work</v>
      </c>
      <c r="T26" s="141"/>
      <c r="U26" s="134"/>
      <c r="V26" s="134"/>
    </row>
    <row r="27" spans="1:22" ht="33.75" customHeight="1" x14ac:dyDescent="0.15">
      <c r="A27" s="134"/>
      <c r="B27" s="134"/>
      <c r="C27" s="138">
        <f ca="1">IFERROR(__xludf.DUMMYFUNCTION("""COMPUTED_VALUE"""),2818078)</f>
        <v>2818078</v>
      </c>
      <c r="D27" s="138" t="str">
        <f ca="1">IFERROR(__xludf.DUMMYFUNCTION("""COMPUTED_VALUE"""),"Beginner + Intermediate")</f>
        <v>Beginner + Intermediate</v>
      </c>
      <c r="E27" s="139" t="str">
        <f ca="1">IFERROR(__xludf.DUMMYFUNCTION("""COMPUTED_VALUE"""),"How to Work with a Micromanager")</f>
        <v>How to Work with a Micromanager</v>
      </c>
      <c r="F27" s="141"/>
      <c r="G27" s="134"/>
      <c r="H27" s="134"/>
      <c r="I27" s="134"/>
      <c r="J27" s="138">
        <f ca="1">IFERROR(__xludf.DUMMYFUNCTION("""COMPUTED_VALUE"""),2824175)</f>
        <v>2824175</v>
      </c>
      <c r="K27" s="138" t="str">
        <f ca="1">IFERROR(__xludf.DUMMYFUNCTION("""COMPUTED_VALUE"""),"Beginner")</f>
        <v>Beginner</v>
      </c>
      <c r="L27" s="139" t="str">
        <f ca="1">IFERROR(__xludf.DUMMYFUNCTION("""COMPUTED_VALUE"""),"Communicating In the Language of Leadership")</f>
        <v>Communicating In the Language of Leadership</v>
      </c>
      <c r="M27" s="141"/>
      <c r="N27" s="134"/>
      <c r="O27" s="134"/>
      <c r="P27" s="134"/>
      <c r="Q27" s="138">
        <f ca="1">IFERROR(__xludf.DUMMYFUNCTION("""COMPUTED_VALUE"""),580624)</f>
        <v>580624</v>
      </c>
      <c r="R27" s="138" t="str">
        <f ca="1">IFERROR(__xludf.DUMMYFUNCTION("""COMPUTED_VALUE"""),"Intermediate")</f>
        <v>Intermediate</v>
      </c>
      <c r="S27" s="139" t="str">
        <f ca="1">IFERROR(__xludf.DUMMYFUNCTION("""COMPUTED_VALUE"""),"Communicating in Times of Change")</f>
        <v>Communicating in Times of Change</v>
      </c>
      <c r="T27" s="141"/>
      <c r="U27" s="134"/>
      <c r="V27" s="134"/>
    </row>
    <row r="28" spans="1:22" ht="33.75" customHeight="1" x14ac:dyDescent="0.15">
      <c r="A28" s="134"/>
      <c r="B28" s="134"/>
      <c r="C28" s="138">
        <f ca="1">IFERROR(__xludf.DUMMYFUNCTION("""COMPUTED_VALUE"""),2823321)</f>
        <v>2823321</v>
      </c>
      <c r="D28" s="138" t="str">
        <f ca="1">IFERROR(__xludf.DUMMYFUNCTION("""COMPUTED_VALUE"""),"Beginner + Intermediate")</f>
        <v>Beginner + Intermediate</v>
      </c>
      <c r="E28" s="139" t="str">
        <f ca="1">IFERROR(__xludf.DUMMYFUNCTION("""COMPUTED_VALUE"""),"Communicating with Transparency")</f>
        <v>Communicating with Transparency</v>
      </c>
      <c r="F28" s="141"/>
      <c r="G28" s="134"/>
      <c r="H28" s="134"/>
      <c r="I28" s="134"/>
      <c r="J28" s="138">
        <f ca="1">IFERROR(__xludf.DUMMYFUNCTION("""COMPUTED_VALUE"""),2243047)</f>
        <v>2243047</v>
      </c>
      <c r="K28" s="138" t="str">
        <f ca="1">IFERROR(__xludf.DUMMYFUNCTION("""COMPUTED_VALUE"""),"Beginner")</f>
        <v>Beginner</v>
      </c>
      <c r="L28" s="139" t="str">
        <f ca="1">IFERROR(__xludf.DUMMYFUNCTION("""COMPUTED_VALUE"""),"Top of Mind: Use Content to Unleash Your Influence (getAbstract Summary)")</f>
        <v>Top of Mind: Use Content to Unleash Your Influence (getAbstract Summary)</v>
      </c>
      <c r="M28" s="141"/>
      <c r="N28" s="134"/>
      <c r="O28" s="134"/>
      <c r="P28" s="134"/>
      <c r="Q28" s="138">
        <f ca="1">IFERROR(__xludf.DUMMYFUNCTION("""COMPUTED_VALUE"""),656781)</f>
        <v>656781</v>
      </c>
      <c r="R28" s="138" t="str">
        <f ca="1">IFERROR(__xludf.DUMMYFUNCTION("""COMPUTED_VALUE"""),"Intermediate")</f>
        <v>Intermediate</v>
      </c>
      <c r="S28" s="139" t="str">
        <f ca="1">IFERROR(__xludf.DUMMYFUNCTION("""COMPUTED_VALUE"""),"Facilitation Skills for Managers and Leaders")</f>
        <v>Facilitation Skills for Managers and Leaders</v>
      </c>
      <c r="T28" s="141"/>
      <c r="U28" s="134"/>
      <c r="V28" s="134"/>
    </row>
    <row r="29" spans="1:22" ht="33.75" customHeight="1" x14ac:dyDescent="0.15">
      <c r="A29" s="134"/>
      <c r="B29" s="134"/>
      <c r="C29" s="138">
        <f ca="1">IFERROR(__xludf.DUMMYFUNCTION("""COMPUTED_VALUE"""),709833)</f>
        <v>709833</v>
      </c>
      <c r="D29" s="138" t="str">
        <f ca="1">IFERROR(__xludf.DUMMYFUNCTION("""COMPUTED_VALUE"""),"Beginner + Intermediate")</f>
        <v>Beginner + Intermediate</v>
      </c>
      <c r="E29" s="139" t="str">
        <f ca="1">IFERROR(__xludf.DUMMYFUNCTION("""COMPUTED_VALUE"""),"Being an Effective Team Member")</f>
        <v>Being an Effective Team Member</v>
      </c>
      <c r="F29" s="141"/>
      <c r="G29" s="134"/>
      <c r="H29" s="134"/>
      <c r="I29" s="134"/>
      <c r="J29" s="138">
        <f ca="1">IFERROR(__xludf.DUMMYFUNCTION("""COMPUTED_VALUE"""),2834027)</f>
        <v>2834027</v>
      </c>
      <c r="K29" s="138" t="str">
        <f ca="1">IFERROR(__xludf.DUMMYFUNCTION("""COMPUTED_VALUE"""),"Beginner")</f>
        <v>Beginner</v>
      </c>
      <c r="L29" s="139" t="str">
        <f ca="1">IFERROR(__xludf.DUMMYFUNCTION("""COMPUTED_VALUE"""),"Learning Webex Meetings")</f>
        <v>Learning Webex Meetings</v>
      </c>
      <c r="M29" s="141"/>
      <c r="N29" s="134"/>
      <c r="O29" s="134"/>
      <c r="P29" s="134"/>
      <c r="Q29" s="138">
        <f ca="1">IFERROR(__xludf.DUMMYFUNCTION("""COMPUTED_VALUE"""),601769)</f>
        <v>601769</v>
      </c>
      <c r="R29" s="138" t="str">
        <f ca="1">IFERROR(__xludf.DUMMYFUNCTION("""COMPUTED_VALUE"""),"Intermediate")</f>
        <v>Intermediate</v>
      </c>
      <c r="S29" s="139" t="str">
        <f ca="1">IFERROR(__xludf.DUMMYFUNCTION("""COMPUTED_VALUE"""),"Human Resources: Managing Employee Problems")</f>
        <v>Human Resources: Managing Employee Problems</v>
      </c>
      <c r="T29" s="141"/>
      <c r="U29" s="134"/>
      <c r="V29" s="134"/>
    </row>
    <row r="30" spans="1:22" ht="33.75" customHeight="1" x14ac:dyDescent="0.15">
      <c r="A30" s="134"/>
      <c r="B30" s="134"/>
      <c r="C30" s="138">
        <f ca="1">IFERROR(__xludf.DUMMYFUNCTION("""COMPUTED_VALUE"""),700791)</f>
        <v>700791</v>
      </c>
      <c r="D30" s="138" t="str">
        <f ca="1">IFERROR(__xludf.DUMMYFUNCTION("""COMPUTED_VALUE"""),"Beginner + Intermediate")</f>
        <v>Beginner + Intermediate</v>
      </c>
      <c r="E30" s="139" t="str">
        <f ca="1">IFERROR(__xludf.DUMMYFUNCTION("""COMPUTED_VALUE"""),"Building Trust")</f>
        <v>Building Trust</v>
      </c>
      <c r="F30" s="141"/>
      <c r="G30" s="134"/>
      <c r="H30" s="134"/>
      <c r="I30" s="134"/>
      <c r="J30" s="138">
        <f ca="1">IFERROR(__xludf.DUMMYFUNCTION("""COMPUTED_VALUE"""),2299019)</f>
        <v>2299019</v>
      </c>
      <c r="K30" s="138" t="str">
        <f ca="1">IFERROR(__xludf.DUMMYFUNCTION("""COMPUTED_VALUE"""),"Beginner")</f>
        <v>Beginner</v>
      </c>
      <c r="L30" s="139" t="str">
        <f ca="1">IFERROR(__xludf.DUMMYFUNCTION("""COMPUTED_VALUE"""),"Find Your Passion: How Padma Lakshmi Found Hers")</f>
        <v>Find Your Passion: How Padma Lakshmi Found Hers</v>
      </c>
      <c r="M30" s="141"/>
      <c r="N30" s="134"/>
      <c r="O30" s="134"/>
      <c r="P30" s="134"/>
      <c r="Q30" s="138">
        <f ca="1">IFERROR(__xludf.DUMMYFUNCTION("""COMPUTED_VALUE"""),808670)</f>
        <v>808670</v>
      </c>
      <c r="R30" s="138" t="str">
        <f ca="1">IFERROR(__xludf.DUMMYFUNCTION("""COMPUTED_VALUE"""),"Intermediate")</f>
        <v>Intermediate</v>
      </c>
      <c r="S30" s="139" t="str">
        <f ca="1">IFERROR(__xludf.DUMMYFUNCTION("""COMPUTED_VALUE"""),"Leading through Relationships")</f>
        <v>Leading through Relationships</v>
      </c>
      <c r="T30" s="141"/>
      <c r="U30" s="134"/>
      <c r="V30" s="134"/>
    </row>
    <row r="31" spans="1:22" ht="33.75" customHeight="1" x14ac:dyDescent="0.15">
      <c r="A31" s="134"/>
      <c r="B31" s="134"/>
      <c r="C31" s="138">
        <f ca="1">IFERROR(__xludf.DUMMYFUNCTION("""COMPUTED_VALUE"""),172855)</f>
        <v>172855</v>
      </c>
      <c r="D31" s="138" t="str">
        <f ca="1">IFERROR(__xludf.DUMMYFUNCTION("""COMPUTED_VALUE"""),"Beginner + Intermediate")</f>
        <v>Beginner + Intermediate</v>
      </c>
      <c r="E31" s="139" t="str">
        <f ca="1">IFERROR(__xludf.DUMMYFUNCTION("""COMPUTED_VALUE"""),"Collaborative Design: Managing a Team")</f>
        <v>Collaborative Design: Managing a Team</v>
      </c>
      <c r="F31" s="141"/>
      <c r="G31" s="134"/>
      <c r="H31" s="134"/>
      <c r="I31" s="134"/>
      <c r="J31" s="138">
        <f ca="1">IFERROR(__xludf.DUMMYFUNCTION("""COMPUTED_VALUE"""),2837268)</f>
        <v>2837268</v>
      </c>
      <c r="K31" s="138" t="str">
        <f ca="1">IFERROR(__xludf.DUMMYFUNCTION("""COMPUTED_VALUE"""),"Beginner")</f>
        <v>Beginner</v>
      </c>
      <c r="L31" s="139" t="str">
        <f ca="1">IFERROR(__xludf.DUMMYFUNCTION("""COMPUTED_VALUE"""),"Jeffrey Gitomer’s Little Red Book of Sales Answers (getAbstract Summary)")</f>
        <v>Jeffrey Gitomer’s Little Red Book of Sales Answers (getAbstract Summary)</v>
      </c>
      <c r="M31" s="141"/>
      <c r="N31" s="134"/>
      <c r="O31" s="134"/>
      <c r="P31" s="134"/>
      <c r="Q31" s="138">
        <f ca="1">IFERROR(__xludf.DUMMYFUNCTION("""COMPUTED_VALUE"""),746305)</f>
        <v>746305</v>
      </c>
      <c r="R31" s="138" t="str">
        <f ca="1">IFERROR(__xludf.DUMMYFUNCTION("""COMPUTED_VALUE"""),"Intermediate")</f>
        <v>Intermediate</v>
      </c>
      <c r="S31" s="139" t="str">
        <f ca="1">IFERROR(__xludf.DUMMYFUNCTION("""COMPUTED_VALUE"""),"Managing Employee Performance Problems")</f>
        <v>Managing Employee Performance Problems</v>
      </c>
      <c r="T31" s="141"/>
      <c r="U31" s="134"/>
      <c r="V31" s="134"/>
    </row>
    <row r="32" spans="1:22" ht="33.75" customHeight="1" x14ac:dyDescent="0.15">
      <c r="A32" s="134"/>
      <c r="B32" s="134"/>
      <c r="C32" s="138">
        <f ca="1">IFERROR(__xludf.DUMMYFUNCTION("""COMPUTED_VALUE"""),622053)</f>
        <v>622053</v>
      </c>
      <c r="D32" s="138" t="str">
        <f ca="1">IFERROR(__xludf.DUMMYFUNCTION("""COMPUTED_VALUE"""),"Beginner + Intermediate")</f>
        <v>Beginner + Intermediate</v>
      </c>
      <c r="E32" s="139" t="str">
        <f ca="1">IFERROR(__xludf.DUMMYFUNCTION("""COMPUTED_VALUE"""),"Giving and Receiving Feedback")</f>
        <v>Giving and Receiving Feedback</v>
      </c>
      <c r="F32" s="141"/>
      <c r="G32" s="134"/>
      <c r="H32" s="134"/>
      <c r="I32" s="134"/>
      <c r="J32" s="138">
        <f ca="1">IFERROR(__xludf.DUMMYFUNCTION("""COMPUTED_VALUE"""),2836031)</f>
        <v>2836031</v>
      </c>
      <c r="K32" s="138" t="str">
        <f ca="1">IFERROR(__xludf.DUMMYFUNCTION("""COMPUTED_VALUE"""),"Beginner")</f>
        <v>Beginner</v>
      </c>
      <c r="L32" s="139" t="str">
        <f ca="1">IFERROR(__xludf.DUMMYFUNCTION("""COMPUTED_VALUE"""),"Crucial Conversations (getAbstract Summary)")</f>
        <v>Crucial Conversations (getAbstract Summary)</v>
      </c>
      <c r="M32" s="141"/>
      <c r="N32" s="134"/>
      <c r="O32" s="134"/>
      <c r="P32" s="134"/>
      <c r="Q32" s="138">
        <f ca="1">IFERROR(__xludf.DUMMYFUNCTION("""COMPUTED_VALUE"""),664804)</f>
        <v>664804</v>
      </c>
      <c r="R32" s="138" t="str">
        <f ca="1">IFERROR(__xludf.DUMMYFUNCTION("""COMPUTED_VALUE"""),"Intermediate")</f>
        <v>Intermediate</v>
      </c>
      <c r="S32" s="139" t="str">
        <f ca="1">IFERROR(__xludf.DUMMYFUNCTION("""COMPUTED_VALUE"""),"Managing in Difficult Times")</f>
        <v>Managing in Difficult Times</v>
      </c>
      <c r="T32" s="141"/>
      <c r="U32" s="134"/>
      <c r="V32" s="134"/>
    </row>
    <row r="33" spans="1:22" ht="33.75" customHeight="1" x14ac:dyDescent="0.15">
      <c r="A33" s="134"/>
      <c r="B33" s="134"/>
      <c r="C33" s="138">
        <f ca="1">IFERROR(__xludf.DUMMYFUNCTION("""COMPUTED_VALUE"""),653220)</f>
        <v>653220</v>
      </c>
      <c r="D33" s="138" t="str">
        <f ca="1">IFERROR(__xludf.DUMMYFUNCTION("""COMPUTED_VALUE"""),"Beginner + Intermediate")</f>
        <v>Beginner + Intermediate</v>
      </c>
      <c r="E33" s="139" t="str">
        <f ca="1">IFERROR(__xludf.DUMMYFUNCTION("""COMPUTED_VALUE"""),"Improving Your Listening Skills")</f>
        <v>Improving Your Listening Skills</v>
      </c>
      <c r="F33" s="141"/>
      <c r="G33" s="134"/>
      <c r="H33" s="134"/>
      <c r="I33" s="134"/>
      <c r="J33" s="138">
        <f ca="1">IFERROR(__xludf.DUMMYFUNCTION("""COMPUTED_VALUE"""),2873069)</f>
        <v>2873069</v>
      </c>
      <c r="K33" s="138" t="str">
        <f ca="1">IFERROR(__xludf.DUMMYFUNCTION("""COMPUTED_VALUE"""),"Beginner")</f>
        <v>Beginner</v>
      </c>
      <c r="L33" s="139" t="str">
        <f ca="1">IFERROR(__xludf.DUMMYFUNCTION("""COMPUTED_VALUE"""),"How to Crush Self-Doubt and Build Self-Confidence")</f>
        <v>How to Crush Self-Doubt and Build Self-Confidence</v>
      </c>
      <c r="M33" s="141"/>
      <c r="N33" s="134"/>
      <c r="O33" s="134"/>
      <c r="P33" s="134"/>
      <c r="Q33" s="138">
        <f ca="1">IFERROR(__xludf.DUMMYFUNCTION("""COMPUTED_VALUE"""),681075)</f>
        <v>681075</v>
      </c>
      <c r="R33" s="138" t="str">
        <f ca="1">IFERROR(__xludf.DUMMYFUNCTION("""COMPUTED_VALUE"""),"Intermediate")</f>
        <v>Intermediate</v>
      </c>
      <c r="S33" s="139" t="str">
        <f ca="1">IFERROR(__xludf.DUMMYFUNCTION("""COMPUTED_VALUE"""),"Managing Team Conflict")</f>
        <v>Managing Team Conflict</v>
      </c>
      <c r="T33" s="141"/>
      <c r="U33" s="134"/>
      <c r="V33" s="134"/>
    </row>
    <row r="34" spans="1:22" ht="33.75" customHeight="1" x14ac:dyDescent="0.15">
      <c r="A34" s="134"/>
      <c r="B34" s="134"/>
      <c r="C34" s="138">
        <f ca="1">IFERROR(__xludf.DUMMYFUNCTION("""COMPUTED_VALUE"""),2241057)</f>
        <v>2241057</v>
      </c>
      <c r="D34" s="138" t="str">
        <f ca="1">IFERROR(__xludf.DUMMYFUNCTION("""COMPUTED_VALUE"""),"General")</f>
        <v>General</v>
      </c>
      <c r="E34" s="139" t="str">
        <f ca="1">IFERROR(__xludf.DUMMYFUNCTION("""COMPUTED_VALUE"""),"What Are Your Blind Spots? (getAbstract Summary)")</f>
        <v>What Are Your Blind Spots? (getAbstract Summary)</v>
      </c>
      <c r="F34" s="141"/>
      <c r="G34" s="134"/>
      <c r="H34" s="134"/>
      <c r="I34" s="134"/>
      <c r="J34" s="138">
        <f ca="1">IFERROR(__xludf.DUMMYFUNCTION("""COMPUTED_VALUE"""),2877030)</f>
        <v>2877030</v>
      </c>
      <c r="K34" s="138" t="str">
        <f ca="1">IFERROR(__xludf.DUMMYFUNCTION("""COMPUTED_VALUE"""),"Beginner")</f>
        <v>Beginner</v>
      </c>
      <c r="L34" s="139" t="str">
        <f ca="1">IFERROR(__xludf.DUMMYFUNCTION("""COMPUTED_VALUE"""),"Becoming an Impactful and Influential Leader")</f>
        <v>Becoming an Impactful and Influential Leader</v>
      </c>
      <c r="M34" s="141"/>
      <c r="N34" s="134"/>
      <c r="O34" s="134"/>
      <c r="P34" s="134"/>
      <c r="Q34" s="138">
        <f ca="1">IFERROR(__xludf.DUMMYFUNCTION("""COMPUTED_VALUE"""),2820193)</f>
        <v>2820193</v>
      </c>
      <c r="R34" s="138" t="str">
        <f ca="1">IFERROR(__xludf.DUMMYFUNCTION("""COMPUTED_VALUE"""),"Intermediate")</f>
        <v>Intermediate</v>
      </c>
      <c r="S34" s="139" t="str">
        <f ca="1">IFERROR(__xludf.DUMMYFUNCTION("""COMPUTED_VALUE"""),"Having Difficult Conversations: A Guide for Managers")</f>
        <v>Having Difficult Conversations: A Guide for Managers</v>
      </c>
      <c r="T34" s="141"/>
      <c r="U34" s="134"/>
      <c r="V34" s="134"/>
    </row>
    <row r="35" spans="1:22" ht="33.75" customHeight="1" x14ac:dyDescent="0.15">
      <c r="A35" s="134"/>
      <c r="B35" s="134"/>
      <c r="C35" s="138">
        <f ca="1">IFERROR(__xludf.DUMMYFUNCTION("""COMPUTED_VALUE"""),2242035)</f>
        <v>2242035</v>
      </c>
      <c r="D35" s="138" t="str">
        <f ca="1">IFERROR(__xludf.DUMMYFUNCTION("""COMPUTED_VALUE"""),"General")</f>
        <v>General</v>
      </c>
      <c r="E35" s="139" t="str">
        <f ca="1">IFERROR(__xludf.DUMMYFUNCTION("""COMPUTED_VALUE"""),"Humble Leadership: The Power of Relationships, Openness, and Trust (getAbstract Summary)")</f>
        <v>Humble Leadership: The Power of Relationships, Openness, and Trust (getAbstract Summary)</v>
      </c>
      <c r="F35" s="141"/>
      <c r="G35" s="134"/>
      <c r="H35" s="134"/>
      <c r="I35" s="134"/>
      <c r="J35" s="138">
        <f ca="1">IFERROR(__xludf.DUMMYFUNCTION("""COMPUTED_VALUE"""),2873074)</f>
        <v>2873074</v>
      </c>
      <c r="K35" s="138" t="str">
        <f ca="1">IFERROR(__xludf.DUMMYFUNCTION("""COMPUTED_VALUE"""),"Beginner")</f>
        <v>Beginner</v>
      </c>
      <c r="L35" s="139" t="str">
        <f ca="1">IFERROR(__xludf.DUMMYFUNCTION("""COMPUTED_VALUE"""),"Key Psychological Principles for Ethical Persuasion")</f>
        <v>Key Psychological Principles for Ethical Persuasion</v>
      </c>
      <c r="M35" s="141"/>
      <c r="N35" s="134"/>
      <c r="O35" s="134"/>
      <c r="P35" s="134"/>
      <c r="Q35" s="138">
        <f ca="1">IFERROR(__xludf.DUMMYFUNCTION("""COMPUTED_VALUE"""),2822466)</f>
        <v>2822466</v>
      </c>
      <c r="R35" s="138" t="str">
        <f ca="1">IFERROR(__xludf.DUMMYFUNCTION("""COMPUTED_VALUE"""),"Intermediate")</f>
        <v>Intermediate</v>
      </c>
      <c r="S35" s="139" t="str">
        <f ca="1">IFERROR(__xludf.DUMMYFUNCTION("""COMPUTED_VALUE"""),"Working with High-Conflict People as a Manager")</f>
        <v>Working with High-Conflict People as a Manager</v>
      </c>
      <c r="T35" s="141"/>
      <c r="U35" s="134"/>
      <c r="V35" s="134"/>
    </row>
    <row r="36" spans="1:22" ht="33.75" customHeight="1" x14ac:dyDescent="0.15">
      <c r="A36" s="134"/>
      <c r="B36" s="134"/>
      <c r="C36" s="138">
        <f ca="1">IFERROR(__xludf.DUMMYFUNCTION("""COMPUTED_VALUE"""),2243045)</f>
        <v>2243045</v>
      </c>
      <c r="D36" s="138" t="str">
        <f ca="1">IFERROR(__xludf.DUMMYFUNCTION("""COMPUTED_VALUE"""),"General")</f>
        <v>General</v>
      </c>
      <c r="E36" s="139" t="str">
        <f ca="1">IFERROR(__xludf.DUMMYFUNCTION("""COMPUTED_VALUE"""),"The Art of Connection: 7 Relationship-Building Skills Every Leader Needs Now (getAbstract Summary)")</f>
        <v>The Art of Connection: 7 Relationship-Building Skills Every Leader Needs Now (getAbstract Summary)</v>
      </c>
      <c r="F36" s="141"/>
      <c r="G36" s="134"/>
      <c r="H36" s="134"/>
      <c r="I36" s="134"/>
      <c r="J36" s="138">
        <f ca="1">IFERROR(__xludf.DUMMYFUNCTION("""COMPUTED_VALUE"""),2865036)</f>
        <v>2865036</v>
      </c>
      <c r="K36" s="138" t="str">
        <f ca="1">IFERROR(__xludf.DUMMYFUNCTION("""COMPUTED_VALUE"""),"Beginner")</f>
        <v>Beginner</v>
      </c>
      <c r="L36" s="139" t="str">
        <f ca="1">IFERROR(__xludf.DUMMYFUNCTION("""COMPUTED_VALUE"""),"The Power of Introverts")</f>
        <v>The Power of Introverts</v>
      </c>
      <c r="M36" s="141"/>
      <c r="N36" s="134"/>
      <c r="O36" s="134"/>
      <c r="P36" s="134"/>
      <c r="Q36" s="138">
        <f ca="1">IFERROR(__xludf.DUMMYFUNCTION("""COMPUTED_VALUE"""),2823547)</f>
        <v>2823547</v>
      </c>
      <c r="R36" s="138" t="str">
        <f ca="1">IFERROR(__xludf.DUMMYFUNCTION("""COMPUTED_VALUE"""),"Intermediate")</f>
        <v>Intermediate</v>
      </c>
      <c r="S36" s="139" t="str">
        <f ca="1">IFERROR(__xludf.DUMMYFUNCTION("""COMPUTED_VALUE"""),"Managing Misconduct in the Workplace")</f>
        <v>Managing Misconduct in the Workplace</v>
      </c>
      <c r="T36" s="141"/>
      <c r="U36" s="134"/>
      <c r="V36" s="134"/>
    </row>
    <row r="37" spans="1:22" ht="33.75" customHeight="1" x14ac:dyDescent="0.15">
      <c r="A37" s="134"/>
      <c r="B37" s="134"/>
      <c r="C37" s="138">
        <f ca="1">IFERROR(__xludf.DUMMYFUNCTION("""COMPUTED_VALUE"""),2825258)</f>
        <v>2825258</v>
      </c>
      <c r="D37" s="138" t="str">
        <f ca="1">IFERROR(__xludf.DUMMYFUNCTION("""COMPUTED_VALUE"""),"General")</f>
        <v>General</v>
      </c>
      <c r="E37" s="139" t="str">
        <f ca="1">IFERROR(__xludf.DUMMYFUNCTION("""COMPUTED_VALUE"""),"Why Trust Matters with Rachel Botsman")</f>
        <v>Why Trust Matters with Rachel Botsman</v>
      </c>
      <c r="F37" s="141"/>
      <c r="G37" s="134"/>
      <c r="H37" s="134"/>
      <c r="I37" s="134"/>
      <c r="J37" s="138">
        <f ca="1">IFERROR(__xludf.DUMMYFUNCTION("""COMPUTED_VALUE"""),2877078)</f>
        <v>2877078</v>
      </c>
      <c r="K37" s="138" t="str">
        <f ca="1">IFERROR(__xludf.DUMMYFUNCTION("""COMPUTED_VALUE"""),"Beginner")</f>
        <v>Beginner</v>
      </c>
      <c r="L37" s="139" t="str">
        <f ca="1">IFERROR(__xludf.DUMMYFUNCTION("""COMPUTED_VALUE"""),"The Science of Compassion: The Upward Spiral of Compassion")</f>
        <v>The Science of Compassion: The Upward Spiral of Compassion</v>
      </c>
      <c r="M37" s="141"/>
      <c r="N37" s="134"/>
      <c r="O37" s="134"/>
      <c r="P37" s="134"/>
      <c r="Q37" s="138"/>
      <c r="R37" s="138"/>
      <c r="S37" s="139"/>
      <c r="T37" s="141"/>
      <c r="U37" s="134"/>
      <c r="V37" s="134"/>
    </row>
    <row r="38" spans="1:22" ht="33.75" customHeight="1" x14ac:dyDescent="0.15">
      <c r="A38" s="134"/>
      <c r="B38" s="134"/>
      <c r="C38" s="138">
        <f ca="1">IFERROR(__xludf.DUMMYFUNCTION("""COMPUTED_VALUE"""),2313156)</f>
        <v>2313156</v>
      </c>
      <c r="D38" s="138" t="str">
        <f ca="1">IFERROR(__xludf.DUMMYFUNCTION("""COMPUTED_VALUE"""),"General")</f>
        <v>General</v>
      </c>
      <c r="E38" s="139" t="str">
        <f ca="1">IFERROR(__xludf.DUMMYFUNCTION("""COMPUTED_VALUE"""),"Dealing with Grief, Loss, and Change as an Employee")</f>
        <v>Dealing with Grief, Loss, and Change as an Employee</v>
      </c>
      <c r="F38" s="141"/>
      <c r="G38" s="134"/>
      <c r="H38" s="134"/>
      <c r="I38" s="134"/>
      <c r="J38" s="138">
        <f ca="1">IFERROR(__xludf.DUMMYFUNCTION("""COMPUTED_VALUE"""),2877077)</f>
        <v>2877077</v>
      </c>
      <c r="K38" s="138" t="str">
        <f ca="1">IFERROR(__xludf.DUMMYFUNCTION("""COMPUTED_VALUE"""),"Beginner")</f>
        <v>Beginner</v>
      </c>
      <c r="L38" s="139" t="str">
        <f ca="1">IFERROR(__xludf.DUMMYFUNCTION("""COMPUTED_VALUE"""),"The Science of Compassion: Getting Started")</f>
        <v>The Science of Compassion: Getting Started</v>
      </c>
      <c r="M38" s="141"/>
      <c r="N38" s="134"/>
      <c r="O38" s="134"/>
      <c r="P38" s="134"/>
      <c r="Q38" s="138"/>
      <c r="R38" s="138"/>
      <c r="S38" s="139"/>
      <c r="T38" s="141"/>
      <c r="U38" s="134"/>
      <c r="V38" s="134"/>
    </row>
    <row r="39" spans="1:22" ht="33.75" customHeight="1" x14ac:dyDescent="0.15">
      <c r="A39" s="134"/>
      <c r="B39" s="134"/>
      <c r="C39" s="138">
        <f ca="1">IFERROR(__xludf.DUMMYFUNCTION("""COMPUTED_VALUE"""),2801187)</f>
        <v>2801187</v>
      </c>
      <c r="D39" s="138" t="str">
        <f ca="1">IFERROR(__xludf.DUMMYFUNCTION("""COMPUTED_VALUE"""),"General")</f>
        <v>General</v>
      </c>
      <c r="E39" s="139" t="str">
        <f ca="1">IFERROR(__xludf.DUMMYFUNCTION("""COMPUTED_VALUE"""),"Business Ethics")</f>
        <v>Business Ethics</v>
      </c>
      <c r="F39" s="141"/>
      <c r="G39" s="134"/>
      <c r="H39" s="134"/>
      <c r="I39" s="134"/>
      <c r="J39" s="138">
        <f ca="1">IFERROR(__xludf.DUMMYFUNCTION("""COMPUTED_VALUE"""),2974329)</f>
        <v>2974329</v>
      </c>
      <c r="K39" s="138" t="str">
        <f ca="1">IFERROR(__xludf.DUMMYFUNCTION("""COMPUTED_VALUE"""),"Beginner")</f>
        <v>Beginner</v>
      </c>
      <c r="L39" s="139" t="str">
        <f ca="1">IFERROR(__xludf.DUMMYFUNCTION("""COMPUTED_VALUE"""),"Inspirational Leadership Skills: Practical Motivational Leadership")</f>
        <v>Inspirational Leadership Skills: Practical Motivational Leadership</v>
      </c>
      <c r="M39" s="141"/>
      <c r="N39" s="134"/>
      <c r="O39" s="134"/>
      <c r="P39" s="134"/>
      <c r="Q39" s="138"/>
      <c r="R39" s="138"/>
      <c r="S39" s="139"/>
      <c r="T39" s="141"/>
      <c r="U39" s="134"/>
      <c r="V39" s="134"/>
    </row>
    <row r="40" spans="1:22" ht="33.75" customHeight="1" x14ac:dyDescent="0.15">
      <c r="A40" s="134"/>
      <c r="B40" s="134"/>
      <c r="C40" s="138">
        <f ca="1">IFERROR(__xludf.DUMMYFUNCTION("""COMPUTED_VALUE"""),2807856)</f>
        <v>2807856</v>
      </c>
      <c r="D40" s="138" t="str">
        <f ca="1">IFERROR(__xludf.DUMMYFUNCTION("""COMPUTED_VALUE"""),"General")</f>
        <v>General</v>
      </c>
      <c r="E40" s="139" t="str">
        <f ca="1">IFERROR(__xludf.DUMMYFUNCTION("""COMPUTED_VALUE"""),"Unlock Your Team's Creativity")</f>
        <v>Unlock Your Team's Creativity</v>
      </c>
      <c r="F40" s="141"/>
      <c r="G40" s="134"/>
      <c r="H40" s="134"/>
      <c r="I40" s="134"/>
      <c r="J40" s="138">
        <f ca="1">IFERROR(__xludf.DUMMYFUNCTION("""COMPUTED_VALUE"""),2315934)</f>
        <v>2315934</v>
      </c>
      <c r="K40" s="138" t="str">
        <f ca="1">IFERROR(__xludf.DUMMYFUNCTION("""COMPUTED_VALUE"""),"Beginner + Intermediate")</f>
        <v>Beginner + Intermediate</v>
      </c>
      <c r="L40" s="139" t="str">
        <f ca="1">IFERROR(__xludf.DUMMYFUNCTION("""COMPUTED_VALUE"""),"Supporting a Grieving Employee: A Manager's Guide")</f>
        <v>Supporting a Grieving Employee: A Manager's Guide</v>
      </c>
      <c r="M40" s="141"/>
      <c r="N40" s="134"/>
      <c r="O40" s="134"/>
      <c r="P40" s="134"/>
      <c r="Q40" s="138"/>
      <c r="R40" s="138"/>
      <c r="S40" s="143"/>
      <c r="T40" s="141"/>
      <c r="U40" s="134"/>
      <c r="V40" s="134"/>
    </row>
    <row r="41" spans="1:22" ht="33.75" customHeight="1" x14ac:dyDescent="0.15">
      <c r="A41" s="134"/>
      <c r="B41" s="134"/>
      <c r="C41" s="138">
        <f ca="1">IFERROR(__xludf.DUMMYFUNCTION("""COMPUTED_VALUE"""),5025098)</f>
        <v>5025098</v>
      </c>
      <c r="D41" s="138" t="str">
        <f ca="1">IFERROR(__xludf.DUMMYFUNCTION("""COMPUTED_VALUE"""),"General")</f>
        <v>General</v>
      </c>
      <c r="E41" s="139" t="str">
        <f ca="1">IFERROR(__xludf.DUMMYFUNCTION("""COMPUTED_VALUE"""),"Skills for Inclusive Conversations")</f>
        <v>Skills for Inclusive Conversations</v>
      </c>
      <c r="F41" s="141"/>
      <c r="G41" s="134"/>
      <c r="H41" s="134"/>
      <c r="I41" s="134"/>
      <c r="J41" s="138">
        <f ca="1">IFERROR(__xludf.DUMMYFUNCTION("""COMPUTED_VALUE"""),2823321)</f>
        <v>2823321</v>
      </c>
      <c r="K41" s="138" t="str">
        <f ca="1">IFERROR(__xludf.DUMMYFUNCTION("""COMPUTED_VALUE"""),"Beginner + Intermediate")</f>
        <v>Beginner + Intermediate</v>
      </c>
      <c r="L41" s="139" t="str">
        <f ca="1">IFERROR(__xludf.DUMMYFUNCTION("""COMPUTED_VALUE"""),"Communicating with Transparency")</f>
        <v>Communicating with Transparency</v>
      </c>
      <c r="M41" s="141"/>
      <c r="N41" s="134"/>
      <c r="O41" s="134"/>
      <c r="P41" s="134"/>
      <c r="Q41" s="138"/>
      <c r="R41" s="138"/>
      <c r="S41" s="143"/>
      <c r="T41" s="141"/>
      <c r="U41" s="134"/>
      <c r="V41" s="134"/>
    </row>
    <row r="42" spans="1:22" ht="33.75" customHeight="1" x14ac:dyDescent="0.15">
      <c r="A42" s="134"/>
      <c r="B42" s="134"/>
      <c r="C42" s="138">
        <f ca="1">IFERROR(__xludf.DUMMYFUNCTION("""COMPUTED_VALUE"""),2848245)</f>
        <v>2848245</v>
      </c>
      <c r="D42" s="138" t="str">
        <f ca="1">IFERROR(__xludf.DUMMYFUNCTION("""COMPUTED_VALUE"""),"General")</f>
        <v>General</v>
      </c>
      <c r="E42" s="139" t="str">
        <f ca="1">IFERROR(__xludf.DUMMYFUNCTION("""COMPUTED_VALUE"""),"Leveraging Your Relationship Capital")</f>
        <v>Leveraging Your Relationship Capital</v>
      </c>
      <c r="F42" s="141"/>
      <c r="G42" s="134"/>
      <c r="H42" s="134"/>
      <c r="I42" s="134"/>
      <c r="J42" s="138">
        <f ca="1">IFERROR(__xludf.DUMMYFUNCTION("""COMPUTED_VALUE"""),2816032)</f>
        <v>2816032</v>
      </c>
      <c r="K42" s="138" t="str">
        <f ca="1">IFERROR(__xludf.DUMMYFUNCTION("""COMPUTED_VALUE"""),"Beginner + Intermediate")</f>
        <v>Beginner + Intermediate</v>
      </c>
      <c r="L42" s="139" t="str">
        <f ca="1">IFERROR(__xludf.DUMMYFUNCTION("""COMPUTED_VALUE"""),"Presenting Technical Information with Stories")</f>
        <v>Presenting Technical Information with Stories</v>
      </c>
      <c r="M42" s="141"/>
      <c r="N42" s="134"/>
      <c r="O42" s="134"/>
      <c r="P42" s="134"/>
      <c r="Q42" s="138"/>
      <c r="R42" s="138"/>
      <c r="S42" s="143"/>
      <c r="T42" s="141"/>
      <c r="U42" s="134"/>
      <c r="V42" s="134"/>
    </row>
    <row r="43" spans="1:22" ht="33.75" customHeight="1" x14ac:dyDescent="0.15">
      <c r="A43" s="134"/>
      <c r="B43" s="134"/>
      <c r="C43" s="138">
        <f ca="1">IFERROR(__xludf.DUMMYFUNCTION("""COMPUTED_VALUE"""),2848243)</f>
        <v>2848243</v>
      </c>
      <c r="D43" s="138" t="str">
        <f ca="1">IFERROR(__xludf.DUMMYFUNCTION("""COMPUTED_VALUE"""),"General")</f>
        <v>General</v>
      </c>
      <c r="E43" s="139" t="str">
        <f ca="1">IFERROR(__xludf.DUMMYFUNCTION("""COMPUTED_VALUE"""),"The Ultimate Guide to Professional Networking")</f>
        <v>The Ultimate Guide to Professional Networking</v>
      </c>
      <c r="F43" s="141"/>
      <c r="G43" s="134"/>
      <c r="H43" s="134"/>
      <c r="I43" s="134"/>
      <c r="J43" s="138">
        <f ca="1">IFERROR(__xludf.DUMMYFUNCTION("""COMPUTED_VALUE"""),808669)</f>
        <v>808669</v>
      </c>
      <c r="K43" s="138" t="str">
        <f ca="1">IFERROR(__xludf.DUMMYFUNCTION("""COMPUTED_VALUE"""),"Beginner + Intermediate")</f>
        <v>Beginner + Intermediate</v>
      </c>
      <c r="L43" s="139" t="str">
        <f ca="1">IFERROR(__xludf.DUMMYFUNCTION("""COMPUTED_VALUE"""),"Building Business Relationships")</f>
        <v>Building Business Relationships</v>
      </c>
      <c r="M43" s="141"/>
      <c r="N43" s="134"/>
      <c r="O43" s="134"/>
      <c r="P43" s="134"/>
      <c r="Q43" s="138"/>
      <c r="R43" s="138"/>
      <c r="S43" s="143"/>
      <c r="T43" s="141"/>
      <c r="U43" s="134"/>
      <c r="V43" s="134"/>
    </row>
    <row r="44" spans="1:22" ht="33.75" customHeight="1" x14ac:dyDescent="0.15">
      <c r="A44" s="134"/>
      <c r="B44" s="134"/>
      <c r="C44" s="138">
        <f ca="1">IFERROR(__xludf.DUMMYFUNCTION("""COMPUTED_VALUE"""),2849194)</f>
        <v>2849194</v>
      </c>
      <c r="D44" s="138" t="str">
        <f ca="1">IFERROR(__xludf.DUMMYFUNCTION("""COMPUTED_VALUE"""),"General")</f>
        <v>General</v>
      </c>
      <c r="E44" s="139" t="str">
        <f ca="1">IFERROR(__xludf.DUMMYFUNCTION("""COMPUTED_VALUE"""),"21 Opportunities for Better Networking")</f>
        <v>21 Opportunities for Better Networking</v>
      </c>
      <c r="F44" s="141"/>
      <c r="G44" s="134"/>
      <c r="H44" s="134"/>
      <c r="I44" s="134"/>
      <c r="J44" s="138">
        <f ca="1">IFERROR(__xludf.DUMMYFUNCTION("""COMPUTED_VALUE"""),700791)</f>
        <v>700791</v>
      </c>
      <c r="K44" s="138" t="str">
        <f ca="1">IFERROR(__xludf.DUMMYFUNCTION("""COMPUTED_VALUE"""),"Beginner + Intermediate")</f>
        <v>Beginner + Intermediate</v>
      </c>
      <c r="L44" s="139" t="str">
        <f ca="1">IFERROR(__xludf.DUMMYFUNCTION("""COMPUTED_VALUE"""),"Building Trust")</f>
        <v>Building Trust</v>
      </c>
      <c r="M44" s="141"/>
      <c r="N44" s="134"/>
      <c r="O44" s="134"/>
      <c r="P44" s="134"/>
      <c r="Q44" s="138"/>
      <c r="R44" s="138"/>
      <c r="S44" s="143"/>
      <c r="T44" s="141"/>
      <c r="U44" s="134"/>
      <c r="V44" s="134"/>
    </row>
    <row r="45" spans="1:22" ht="33.75" customHeight="1" x14ac:dyDescent="0.15">
      <c r="A45" s="134"/>
      <c r="B45" s="134"/>
      <c r="C45" s="138">
        <f ca="1">IFERROR(__xludf.DUMMYFUNCTION("""COMPUTED_VALUE"""),2849185)</f>
        <v>2849185</v>
      </c>
      <c r="D45" s="138" t="str">
        <f ca="1">IFERROR(__xludf.DUMMYFUNCTION("""COMPUTED_VALUE"""),"General")</f>
        <v>General</v>
      </c>
      <c r="E45" s="139" t="str">
        <f ca="1">IFERROR(__xludf.DUMMYFUNCTION("""COMPUTED_VALUE"""),"Building Relationships While Working from Home")</f>
        <v>Building Relationships While Working from Home</v>
      </c>
      <c r="F45" s="141"/>
      <c r="G45" s="134"/>
      <c r="H45" s="134"/>
      <c r="I45" s="134"/>
      <c r="J45" s="138">
        <f ca="1">IFERROR(__xludf.DUMMYFUNCTION("""COMPUTED_VALUE"""),653220)</f>
        <v>653220</v>
      </c>
      <c r="K45" s="138" t="str">
        <f ca="1">IFERROR(__xludf.DUMMYFUNCTION("""COMPUTED_VALUE"""),"Beginner + Intermediate")</f>
        <v>Beginner + Intermediate</v>
      </c>
      <c r="L45" s="139" t="str">
        <f ca="1">IFERROR(__xludf.DUMMYFUNCTION("""COMPUTED_VALUE"""),"Improving Your Listening Skills")</f>
        <v>Improving Your Listening Skills</v>
      </c>
      <c r="M45" s="141"/>
      <c r="N45" s="134"/>
      <c r="O45" s="134"/>
      <c r="P45" s="134"/>
      <c r="Q45" s="138"/>
      <c r="R45" s="138"/>
      <c r="S45" s="143"/>
      <c r="T45" s="141"/>
      <c r="U45" s="134"/>
      <c r="V45" s="134"/>
    </row>
    <row r="46" spans="1:22" ht="33.75" customHeight="1" x14ac:dyDescent="0.15">
      <c r="A46" s="134"/>
      <c r="B46" s="134"/>
      <c r="C46" s="138">
        <f ca="1">IFERROR(__xludf.DUMMYFUNCTION("""COMPUTED_VALUE"""),2835113)</f>
        <v>2835113</v>
      </c>
      <c r="D46" s="138" t="str">
        <f ca="1">IFERROR(__xludf.DUMMYFUNCTION("""COMPUTED_VALUE"""),"General")</f>
        <v>General</v>
      </c>
      <c r="E46" s="139" t="str">
        <f ca="1">IFERROR(__xludf.DUMMYFUNCTION("""COMPUTED_VALUE"""),"Essentials of Team Collaboration")</f>
        <v>Essentials of Team Collaboration</v>
      </c>
      <c r="F46" s="141"/>
      <c r="G46" s="134"/>
      <c r="H46" s="134"/>
      <c r="I46" s="134"/>
      <c r="J46" s="138">
        <f ca="1">IFERROR(__xludf.DUMMYFUNCTION("""COMPUTED_VALUE"""),612173)</f>
        <v>612173</v>
      </c>
      <c r="K46" s="138" t="str">
        <f ca="1">IFERROR(__xludf.DUMMYFUNCTION("""COMPUTED_VALUE"""),"Beginner + Intermediate")</f>
        <v>Beginner + Intermediate</v>
      </c>
      <c r="L46" s="139" t="str">
        <f ca="1">IFERROR(__xludf.DUMMYFUNCTION("""COMPUTED_VALUE"""),"Selling to Executives")</f>
        <v>Selling to Executives</v>
      </c>
      <c r="M46" s="141"/>
      <c r="N46" s="134"/>
      <c r="O46" s="134"/>
      <c r="P46" s="134"/>
      <c r="Q46" s="138"/>
      <c r="R46" s="138"/>
      <c r="S46" s="143"/>
      <c r="T46" s="141"/>
      <c r="U46" s="134"/>
      <c r="V46" s="134"/>
    </row>
    <row r="47" spans="1:22" ht="33.75" customHeight="1" x14ac:dyDescent="0.15">
      <c r="A47" s="134"/>
      <c r="B47" s="134"/>
      <c r="C47" s="138">
        <f ca="1">IFERROR(__xludf.DUMMYFUNCTION("""COMPUTED_VALUE"""),2300009)</f>
        <v>2300009</v>
      </c>
      <c r="D47" s="138" t="str">
        <f ca="1">IFERROR(__xludf.DUMMYFUNCTION("""COMPUTED_VALUE"""),"General")</f>
        <v>General</v>
      </c>
      <c r="E47" s="139" t="str">
        <f ca="1">IFERROR(__xludf.DUMMYFUNCTION("""COMPUTED_VALUE"""),"Managing Up Virtually as an Employee")</f>
        <v>Managing Up Virtually as an Employee</v>
      </c>
      <c r="F47" s="141"/>
      <c r="G47" s="134"/>
      <c r="H47" s="134"/>
      <c r="I47" s="134"/>
      <c r="J47" s="138">
        <f ca="1">IFERROR(__xludf.DUMMYFUNCTION("""COMPUTED_VALUE"""),2848339)</f>
        <v>2848339</v>
      </c>
      <c r="K47" s="138" t="str">
        <f ca="1">IFERROR(__xludf.DUMMYFUNCTION("""COMPUTED_VALUE"""),"Beginner + Intermediate")</f>
        <v>Beginner + Intermediate</v>
      </c>
      <c r="L47" s="139" t="str">
        <f ca="1">IFERROR(__xludf.DUMMYFUNCTION("""COMPUTED_VALUE"""),"Evil by Design: Persuasion in UX")</f>
        <v>Evil by Design: Persuasion in UX</v>
      </c>
      <c r="M47" s="141"/>
      <c r="N47" s="134"/>
      <c r="O47" s="134"/>
      <c r="P47" s="134"/>
      <c r="Q47" s="138"/>
      <c r="R47" s="138"/>
      <c r="S47" s="143"/>
      <c r="T47" s="141"/>
      <c r="U47" s="134"/>
      <c r="V47" s="134"/>
    </row>
    <row r="48" spans="1:22" ht="33.75" customHeight="1" x14ac:dyDescent="0.15">
      <c r="A48" s="134"/>
      <c r="B48" s="134"/>
      <c r="C48" s="138">
        <f ca="1">IFERROR(__xludf.DUMMYFUNCTION("""COMPUTED_VALUE"""),2848322)</f>
        <v>2848322</v>
      </c>
      <c r="D48" s="138" t="str">
        <f ca="1">IFERROR(__xludf.DUMMYFUNCTION("""COMPUTED_VALUE"""),"General")</f>
        <v>General</v>
      </c>
      <c r="E48" s="139" t="str">
        <f ca="1">IFERROR(__xludf.DUMMYFUNCTION("""COMPUTED_VALUE"""),"How to Develop Friendships and Connect Meaningfully with Work Colleagues")</f>
        <v>How to Develop Friendships and Connect Meaningfully with Work Colleagues</v>
      </c>
      <c r="F48" s="141"/>
      <c r="G48" s="134"/>
      <c r="H48" s="134"/>
      <c r="I48" s="134"/>
      <c r="J48" s="138">
        <f ca="1">IFERROR(__xludf.DUMMYFUNCTION("""COMPUTED_VALUE"""),2825076)</f>
        <v>2825076</v>
      </c>
      <c r="K48" s="138" t="str">
        <f ca="1">IFERROR(__xludf.DUMMYFUNCTION("""COMPUTED_VALUE"""),"General")</f>
        <v>General</v>
      </c>
      <c r="L48" s="139" t="str">
        <f ca="1">IFERROR(__xludf.DUMMYFUNCTION("""COMPUTED_VALUE"""),"Starting a Memorable Conversation")</f>
        <v>Starting a Memorable Conversation</v>
      </c>
      <c r="M48" s="141"/>
      <c r="N48" s="134"/>
      <c r="O48" s="134"/>
      <c r="P48" s="134"/>
      <c r="Q48" s="138"/>
      <c r="R48" s="138"/>
      <c r="S48" s="151"/>
      <c r="T48" s="152"/>
      <c r="U48" s="134"/>
      <c r="V48" s="134"/>
    </row>
    <row r="49" spans="1:22" ht="33.75" customHeight="1" x14ac:dyDescent="0.15">
      <c r="A49" s="134"/>
      <c r="B49" s="134"/>
      <c r="C49" s="138">
        <f ca="1">IFERROR(__xludf.DUMMYFUNCTION("""COMPUTED_VALUE"""),2825601)</f>
        <v>2825601</v>
      </c>
      <c r="D49" s="138" t="str">
        <f ca="1">IFERROR(__xludf.DUMMYFUNCTION("""COMPUTED_VALUE"""),"Intermediate")</f>
        <v>Intermediate</v>
      </c>
      <c r="E49" s="139" t="str">
        <f ca="1">IFERROR(__xludf.DUMMYFUNCTION("""COMPUTED_VALUE"""),"Creating a Connection Culture")</f>
        <v>Creating a Connection Culture</v>
      </c>
      <c r="F49" s="141"/>
      <c r="G49" s="134"/>
      <c r="H49" s="134"/>
      <c r="I49" s="134"/>
      <c r="J49" s="138">
        <f ca="1">IFERROR(__xludf.DUMMYFUNCTION("""COMPUTED_VALUE"""),2825261)</f>
        <v>2825261</v>
      </c>
      <c r="K49" s="138" t="str">
        <f ca="1">IFERROR(__xludf.DUMMYFUNCTION("""COMPUTED_VALUE"""),"General")</f>
        <v>General</v>
      </c>
      <c r="L49" s="139" t="str">
        <f ca="1">IFERROR(__xludf.DUMMYFUNCTION("""COMPUTED_VALUE"""),"Asserting Yourself, an Empowered Choice")</f>
        <v>Asserting Yourself, an Empowered Choice</v>
      </c>
      <c r="M49" s="141"/>
      <c r="N49" s="134"/>
      <c r="O49" s="134"/>
      <c r="P49" s="134"/>
      <c r="Q49" s="138"/>
      <c r="R49" s="138"/>
      <c r="S49" s="151"/>
      <c r="T49" s="152"/>
      <c r="U49" s="134"/>
      <c r="V49" s="134"/>
    </row>
    <row r="50" spans="1:22" ht="33.75" customHeight="1" x14ac:dyDescent="0.15">
      <c r="A50" s="134"/>
      <c r="B50" s="134"/>
      <c r="C50" s="138">
        <f ca="1">IFERROR(__xludf.DUMMYFUNCTION("""COMPUTED_VALUE"""),699245)</f>
        <v>699245</v>
      </c>
      <c r="D50" s="138" t="str">
        <f ca="1">IFERROR(__xludf.DUMMYFUNCTION("""COMPUTED_VALUE"""),"Intermediate")</f>
        <v>Intermediate</v>
      </c>
      <c r="E50" s="139" t="str">
        <f ca="1">IFERROR(__xludf.DUMMYFUNCTION("""COMPUTED_VALUE"""),"Business Collaboration in the Modern Workplace")</f>
        <v>Business Collaboration in the Modern Workplace</v>
      </c>
      <c r="F50" s="141"/>
      <c r="G50" s="134"/>
      <c r="H50" s="134"/>
      <c r="I50" s="134"/>
      <c r="J50" s="138">
        <f ca="1">IFERROR(__xludf.DUMMYFUNCTION("""COMPUTED_VALUE"""),2836016)</f>
        <v>2836016</v>
      </c>
      <c r="K50" s="138" t="str">
        <f ca="1">IFERROR(__xludf.DUMMYFUNCTION("""COMPUTED_VALUE"""),"General")</f>
        <v>General</v>
      </c>
      <c r="L50" s="139" t="str">
        <f ca="1">IFERROR(__xludf.DUMMYFUNCTION("""COMPUTED_VALUE"""),"How to Create and Run a Brilliant Remote Workshop")</f>
        <v>How to Create and Run a Brilliant Remote Workshop</v>
      </c>
      <c r="M50" s="141"/>
      <c r="N50" s="134"/>
      <c r="O50" s="134"/>
      <c r="P50" s="134"/>
      <c r="Q50" s="138"/>
      <c r="R50" s="138"/>
      <c r="S50" s="151"/>
      <c r="T50" s="152"/>
      <c r="U50" s="134"/>
      <c r="V50" s="134"/>
    </row>
    <row r="51" spans="1:22" ht="33.75" customHeight="1" x14ac:dyDescent="0.15">
      <c r="A51" s="134"/>
      <c r="B51" s="134"/>
      <c r="C51" s="138">
        <f ca="1">IFERROR(__xludf.DUMMYFUNCTION("""COMPUTED_VALUE"""),612162)</f>
        <v>612162</v>
      </c>
      <c r="D51" s="138" t="str">
        <f ca="1">IFERROR(__xludf.DUMMYFUNCTION("""COMPUTED_VALUE"""),"Intermediate")</f>
        <v>Intermediate</v>
      </c>
      <c r="E51" s="139" t="str">
        <f ca="1">IFERROR(__xludf.DUMMYFUNCTION("""COMPUTED_VALUE"""),"Communicating with Diplomacy and Tact")</f>
        <v>Communicating with Diplomacy and Tact</v>
      </c>
      <c r="F51" s="141"/>
      <c r="G51" s="134"/>
      <c r="H51" s="134"/>
      <c r="I51" s="134"/>
      <c r="J51" s="138">
        <f ca="1">IFERROR(__xludf.DUMMYFUNCTION("""COMPUTED_VALUE"""),2976136)</f>
        <v>2976136</v>
      </c>
      <c r="K51" s="138" t="str">
        <f ca="1">IFERROR(__xludf.DUMMYFUNCTION("""COMPUTED_VALUE"""),"General")</f>
        <v>General</v>
      </c>
      <c r="L51" s="139" t="str">
        <f ca="1">IFERROR(__xludf.DUMMYFUNCTION("""COMPUTED_VALUE"""),"Zoom: Leading Effective and Engaging Calls")</f>
        <v>Zoom: Leading Effective and Engaging Calls</v>
      </c>
      <c r="M51" s="141"/>
      <c r="N51" s="134"/>
      <c r="O51" s="134"/>
      <c r="P51" s="134"/>
      <c r="Q51" s="138"/>
      <c r="R51" s="138"/>
      <c r="S51" s="151"/>
      <c r="T51" s="152"/>
      <c r="U51" s="134"/>
      <c r="V51" s="134"/>
    </row>
    <row r="52" spans="1:22" ht="33.75" customHeight="1" x14ac:dyDescent="0.15">
      <c r="A52" s="134"/>
      <c r="B52" s="134"/>
      <c r="C52" s="138">
        <f ca="1">IFERROR(__xludf.DUMMYFUNCTION("""COMPUTED_VALUE"""),700792)</f>
        <v>700792</v>
      </c>
      <c r="D52" s="138" t="str">
        <f ca="1">IFERROR(__xludf.DUMMYFUNCTION("""COMPUTED_VALUE"""),"Intermediate")</f>
        <v>Intermediate</v>
      </c>
      <c r="E52" s="139" t="str">
        <f ca="1">IFERROR(__xludf.DUMMYFUNCTION("""COMPUTED_VALUE"""),"Employee Experience")</f>
        <v>Employee Experience</v>
      </c>
      <c r="F52" s="141"/>
      <c r="G52" s="134"/>
      <c r="H52" s="134"/>
      <c r="I52" s="134"/>
      <c r="J52" s="138">
        <f ca="1">IFERROR(__xludf.DUMMYFUNCTION("""COMPUTED_VALUE"""),5025098)</f>
        <v>5025098</v>
      </c>
      <c r="K52" s="138" t="str">
        <f ca="1">IFERROR(__xludf.DUMMYFUNCTION("""COMPUTED_VALUE"""),"General")</f>
        <v>General</v>
      </c>
      <c r="L52" s="139" t="str">
        <f ca="1">IFERROR(__xludf.DUMMYFUNCTION("""COMPUTED_VALUE"""),"Skills for Inclusive Conversations")</f>
        <v>Skills for Inclusive Conversations</v>
      </c>
      <c r="M52" s="141"/>
      <c r="N52" s="134"/>
      <c r="O52" s="134"/>
      <c r="P52" s="134"/>
      <c r="Q52" s="138"/>
      <c r="R52" s="138"/>
      <c r="S52" s="151"/>
      <c r="T52" s="152"/>
      <c r="U52" s="134"/>
      <c r="V52" s="134"/>
    </row>
    <row r="53" spans="1:22" ht="33.75" customHeight="1" x14ac:dyDescent="0.15">
      <c r="A53" s="134"/>
      <c r="B53" s="134"/>
      <c r="C53" s="138">
        <f ca="1">IFERROR(__xludf.DUMMYFUNCTION("""COMPUTED_VALUE"""),656781)</f>
        <v>656781</v>
      </c>
      <c r="D53" s="138" t="str">
        <f ca="1">IFERROR(__xludf.DUMMYFUNCTION("""COMPUTED_VALUE"""),"Intermediate")</f>
        <v>Intermediate</v>
      </c>
      <c r="E53" s="139" t="str">
        <f ca="1">IFERROR(__xludf.DUMMYFUNCTION("""COMPUTED_VALUE"""),"Facilitation Skills for Managers and Leaders")</f>
        <v>Facilitation Skills for Managers and Leaders</v>
      </c>
      <c r="F53" s="141"/>
      <c r="G53" s="134"/>
      <c r="H53" s="134"/>
      <c r="I53" s="134"/>
      <c r="J53" s="138">
        <f ca="1">IFERROR(__xludf.DUMMYFUNCTION("""COMPUTED_VALUE"""),2809355)</f>
        <v>2809355</v>
      </c>
      <c r="K53" s="138" t="str">
        <f ca="1">IFERROR(__xludf.DUMMYFUNCTION("""COMPUTED_VALUE"""),"General")</f>
        <v>General</v>
      </c>
      <c r="L53" s="139" t="str">
        <f ca="1">IFERROR(__xludf.DUMMYFUNCTION("""COMPUTED_VALUE"""),"Body Language for Leaders")</f>
        <v>Body Language for Leaders</v>
      </c>
      <c r="M53" s="141"/>
      <c r="N53" s="134"/>
      <c r="O53" s="134"/>
      <c r="P53" s="134"/>
      <c r="Q53" s="138"/>
      <c r="R53" s="138"/>
      <c r="S53" s="151"/>
      <c r="T53" s="152"/>
      <c r="U53" s="134"/>
      <c r="V53" s="134"/>
    </row>
    <row r="54" spans="1:22" ht="33.75" customHeight="1" x14ac:dyDescent="0.15">
      <c r="A54" s="134"/>
      <c r="B54" s="134"/>
      <c r="C54" s="138">
        <f ca="1">IFERROR(__xludf.DUMMYFUNCTION("""COMPUTED_VALUE"""),645013)</f>
        <v>645013</v>
      </c>
      <c r="D54" s="138" t="str">
        <f ca="1">IFERROR(__xludf.DUMMYFUNCTION("""COMPUTED_VALUE"""),"Intermediate")</f>
        <v>Intermediate</v>
      </c>
      <c r="E54" s="139" t="str">
        <f ca="1">IFERROR(__xludf.DUMMYFUNCTION("""COMPUTED_VALUE"""),"Inclusive Leadership")</f>
        <v>Inclusive Leadership</v>
      </c>
      <c r="F54" s="141"/>
      <c r="G54" s="134"/>
      <c r="H54" s="134"/>
      <c r="I54" s="134"/>
      <c r="J54" s="138">
        <f ca="1">IFERROR(__xludf.DUMMYFUNCTION("""COMPUTED_VALUE"""),2825731)</f>
        <v>2825731</v>
      </c>
      <c r="K54" s="138" t="str">
        <f ca="1">IFERROR(__xludf.DUMMYFUNCTION("""COMPUTED_VALUE"""),"General")</f>
        <v>General</v>
      </c>
      <c r="L54" s="139" t="str">
        <f ca="1">IFERROR(__xludf.DUMMYFUNCTION("""COMPUTED_VALUE"""),"Complete Confidence in Minutes: Weekly")</f>
        <v>Complete Confidence in Minutes: Weekly</v>
      </c>
      <c r="M54" s="141"/>
      <c r="N54" s="134"/>
      <c r="O54" s="134"/>
      <c r="P54" s="134"/>
      <c r="Q54" s="138"/>
      <c r="R54" s="138"/>
      <c r="S54" s="151"/>
      <c r="T54" s="152"/>
      <c r="U54" s="134"/>
      <c r="V54" s="134"/>
    </row>
    <row r="55" spans="1:22" ht="33.75" customHeight="1" x14ac:dyDescent="0.15">
      <c r="A55" s="134"/>
      <c r="B55" s="134"/>
      <c r="C55" s="138">
        <f ca="1">IFERROR(__xludf.DUMMYFUNCTION("""COMPUTED_VALUE"""),2813182)</f>
        <v>2813182</v>
      </c>
      <c r="D55" s="138" t="str">
        <f ca="1">IFERROR(__xludf.DUMMYFUNCTION("""COMPUTED_VALUE"""),"Intermediate")</f>
        <v>Intermediate</v>
      </c>
      <c r="E55" s="139" t="str">
        <f ca="1">IFERROR(__xludf.DUMMYFUNCTION("""COMPUTED_VALUE"""),"Grit: How Teams Persevere to Accomplish Great Goals")</f>
        <v>Grit: How Teams Persevere to Accomplish Great Goals</v>
      </c>
      <c r="F55" s="141"/>
      <c r="G55" s="134"/>
      <c r="H55" s="134"/>
      <c r="I55" s="134"/>
      <c r="J55" s="138">
        <f ca="1">IFERROR(__xludf.DUMMYFUNCTION("""COMPUTED_VALUE"""),2841066)</f>
        <v>2841066</v>
      </c>
      <c r="K55" s="138" t="str">
        <f ca="1">IFERROR(__xludf.DUMMYFUNCTION("""COMPUTED_VALUE"""),"General")</f>
        <v>General</v>
      </c>
      <c r="L55" s="139" t="str">
        <f ca="1">IFERROR(__xludf.DUMMYFUNCTION("""COMPUTED_VALUE"""),"Communicating Internally during Times of Uncertainty")</f>
        <v>Communicating Internally during Times of Uncertainty</v>
      </c>
      <c r="M55" s="141"/>
      <c r="N55" s="134"/>
      <c r="O55" s="134"/>
      <c r="P55" s="134"/>
      <c r="Q55" s="138"/>
      <c r="R55" s="138"/>
      <c r="S55" s="151"/>
      <c r="T55" s="152"/>
      <c r="U55" s="134"/>
      <c r="V55" s="134"/>
    </row>
    <row r="56" spans="1:22" ht="33.75" customHeight="1" x14ac:dyDescent="0.15">
      <c r="A56" s="134"/>
      <c r="B56" s="134"/>
      <c r="C56" s="138">
        <f ca="1">IFERROR(__xludf.DUMMYFUNCTION("""COMPUTED_VALUE"""),2825259)</f>
        <v>2825259</v>
      </c>
      <c r="D56" s="138" t="str">
        <f ca="1">IFERROR(__xludf.DUMMYFUNCTION("""COMPUTED_VALUE"""),"Intermediate")</f>
        <v>Intermediate</v>
      </c>
      <c r="E56" s="139" t="str">
        <f ca="1">IFERROR(__xludf.DUMMYFUNCTION("""COMPUTED_VALUE"""),"Creating a Culture of Collaboration")</f>
        <v>Creating a Culture of Collaboration</v>
      </c>
      <c r="F56" s="141"/>
      <c r="G56" s="134"/>
      <c r="H56" s="134"/>
      <c r="I56" s="134"/>
      <c r="J56" s="138">
        <f ca="1">IFERROR(__xludf.DUMMYFUNCTION("""COMPUTED_VALUE"""),2313156)</f>
        <v>2313156</v>
      </c>
      <c r="K56" s="138" t="str">
        <f ca="1">IFERROR(__xludf.DUMMYFUNCTION("""COMPUTED_VALUE"""),"General")</f>
        <v>General</v>
      </c>
      <c r="L56" s="139" t="str">
        <f ca="1">IFERROR(__xludf.DUMMYFUNCTION("""COMPUTED_VALUE"""),"Dealing with Grief, Loss, and Change as an Employee")</f>
        <v>Dealing with Grief, Loss, and Change as an Employee</v>
      </c>
      <c r="M56" s="141"/>
      <c r="N56" s="134"/>
      <c r="O56" s="134"/>
      <c r="P56" s="134"/>
      <c r="Q56" s="138"/>
      <c r="R56" s="138"/>
      <c r="S56" s="151"/>
      <c r="T56" s="152"/>
      <c r="U56" s="134"/>
      <c r="V56" s="134"/>
    </row>
    <row r="57" spans="1:22" ht="33.75" customHeight="1" x14ac:dyDescent="0.15">
      <c r="A57" s="134"/>
      <c r="B57" s="134"/>
      <c r="C57" s="138">
        <f ca="1">IFERROR(__xludf.DUMMYFUNCTION("""COMPUTED_VALUE"""),2822684)</f>
        <v>2822684</v>
      </c>
      <c r="D57" s="138" t="str">
        <f ca="1">IFERROR(__xludf.DUMMYFUNCTION("""COMPUTED_VALUE"""),"Intermediate")</f>
        <v>Intermediate</v>
      </c>
      <c r="E57" s="139" t="str">
        <f ca="1">IFERROR(__xludf.DUMMYFUNCTION("""COMPUTED_VALUE"""),"Empathy at Work")</f>
        <v>Empathy at Work</v>
      </c>
      <c r="F57" s="141"/>
      <c r="G57" s="134"/>
      <c r="H57" s="134"/>
      <c r="I57" s="134"/>
      <c r="J57" s="138">
        <f ca="1">IFERROR(__xludf.DUMMYFUNCTION("""COMPUTED_VALUE"""),5019837)</f>
        <v>5019837</v>
      </c>
      <c r="K57" s="138" t="str">
        <f ca="1">IFERROR(__xludf.DUMMYFUNCTION("""COMPUTED_VALUE"""),"General")</f>
        <v>General</v>
      </c>
      <c r="L57" s="139" t="str">
        <f ca="1">IFERROR(__xludf.DUMMYFUNCTION("""COMPUTED_VALUE"""),"Preparing to Interview for a Creative Role")</f>
        <v>Preparing to Interview for a Creative Role</v>
      </c>
      <c r="M57" s="141"/>
      <c r="N57" s="134"/>
      <c r="O57" s="134"/>
      <c r="P57" s="134"/>
      <c r="Q57" s="138"/>
      <c r="R57" s="138"/>
      <c r="S57" s="151"/>
      <c r="T57" s="152"/>
      <c r="U57" s="134"/>
      <c r="V57" s="134"/>
    </row>
    <row r="58" spans="1:22" ht="33.75" customHeight="1" x14ac:dyDescent="0.15">
      <c r="A58" s="134"/>
      <c r="B58" s="134"/>
      <c r="C58" s="138"/>
      <c r="D58" s="138"/>
      <c r="E58" s="143"/>
      <c r="F58" s="141"/>
      <c r="G58" s="134"/>
      <c r="H58" s="134"/>
      <c r="I58" s="134"/>
      <c r="J58" s="138">
        <f ca="1">IFERROR(__xludf.DUMMYFUNCTION("""COMPUTED_VALUE"""),2353949)</f>
        <v>2353949</v>
      </c>
      <c r="K58" s="138" t="str">
        <f ca="1">IFERROR(__xludf.DUMMYFUNCTION("""COMPUTED_VALUE"""),"General")</f>
        <v>General</v>
      </c>
      <c r="L58" s="143" t="str">
        <f ca="1">IFERROR(__xludf.DUMMYFUNCTION("""COMPUTED_VALUE"""),"How to Own a Room")</f>
        <v>How to Own a Room</v>
      </c>
      <c r="M58" s="141"/>
      <c r="N58" s="134"/>
      <c r="O58" s="134"/>
      <c r="P58" s="134"/>
      <c r="Q58" s="138"/>
      <c r="R58" s="138"/>
      <c r="S58" s="151"/>
      <c r="T58" s="152"/>
      <c r="U58" s="134"/>
      <c r="V58" s="134"/>
    </row>
    <row r="59" spans="1:22" ht="33.75" customHeight="1" x14ac:dyDescent="0.15">
      <c r="A59" s="134"/>
      <c r="B59" s="134"/>
      <c r="C59" s="138"/>
      <c r="D59" s="138"/>
      <c r="E59" s="143"/>
      <c r="F59" s="141"/>
      <c r="G59" s="134"/>
      <c r="H59" s="134"/>
      <c r="I59" s="134"/>
      <c r="J59" s="138">
        <f ca="1">IFERROR(__xludf.DUMMYFUNCTION("""COMPUTED_VALUE"""),2849185)</f>
        <v>2849185</v>
      </c>
      <c r="K59" s="138" t="str">
        <f ca="1">IFERROR(__xludf.DUMMYFUNCTION("""COMPUTED_VALUE"""),"General")</f>
        <v>General</v>
      </c>
      <c r="L59" s="139" t="str">
        <f ca="1">IFERROR(__xludf.DUMMYFUNCTION("""COMPUTED_VALUE"""),"Building Relationships While Working from Home")</f>
        <v>Building Relationships While Working from Home</v>
      </c>
      <c r="M59" s="141"/>
      <c r="N59" s="134"/>
      <c r="O59" s="134"/>
      <c r="P59" s="134"/>
      <c r="Q59" s="138"/>
      <c r="R59" s="138"/>
      <c r="S59" s="151"/>
      <c r="T59" s="152"/>
      <c r="U59" s="134"/>
      <c r="V59" s="134"/>
    </row>
    <row r="60" spans="1:22" ht="33.75" customHeight="1" x14ac:dyDescent="0.15">
      <c r="A60" s="134"/>
      <c r="B60" s="134"/>
      <c r="C60" s="138"/>
      <c r="D60" s="138"/>
      <c r="E60" s="143"/>
      <c r="F60" s="141"/>
      <c r="G60" s="134"/>
      <c r="H60" s="134"/>
      <c r="I60" s="134"/>
      <c r="J60" s="138">
        <f ca="1">IFERROR(__xludf.DUMMYFUNCTION("""COMPUTED_VALUE"""),2848321)</f>
        <v>2848321</v>
      </c>
      <c r="K60" s="138" t="str">
        <f ca="1">IFERROR(__xludf.DUMMYFUNCTION("""COMPUTED_VALUE"""),"General")</f>
        <v>General</v>
      </c>
      <c r="L60" s="139" t="str">
        <f ca="1">IFERROR(__xludf.DUMMYFUNCTION("""COMPUTED_VALUE"""),"Difficult Conversations: Talking About Race at Work")</f>
        <v>Difficult Conversations: Talking About Race at Work</v>
      </c>
      <c r="M60" s="141"/>
      <c r="N60" s="134"/>
      <c r="O60" s="134"/>
      <c r="P60" s="134"/>
      <c r="Q60" s="138"/>
      <c r="R60" s="138"/>
      <c r="S60" s="151"/>
      <c r="T60" s="152"/>
      <c r="U60" s="134"/>
      <c r="V60" s="134"/>
    </row>
    <row r="61" spans="1:22" ht="33.75" customHeight="1" x14ac:dyDescent="0.15">
      <c r="A61" s="134"/>
      <c r="B61" s="134"/>
      <c r="C61" s="138"/>
      <c r="D61" s="138"/>
      <c r="E61" s="143"/>
      <c r="F61" s="141"/>
      <c r="G61" s="134"/>
      <c r="H61" s="134"/>
      <c r="I61" s="134"/>
      <c r="J61" s="138">
        <f ca="1">IFERROR(__xludf.DUMMYFUNCTION("""COMPUTED_VALUE"""),2825696)</f>
        <v>2825696</v>
      </c>
      <c r="K61" s="138" t="str">
        <f ca="1">IFERROR(__xludf.DUMMYFUNCTION("""COMPUTED_VALUE"""),"General")</f>
        <v>General</v>
      </c>
      <c r="L61" s="139" t="str">
        <f ca="1">IFERROR(__xludf.DUMMYFUNCTION("""COMPUTED_VALUE"""),"Speaking Up At Work")</f>
        <v>Speaking Up At Work</v>
      </c>
      <c r="M61" s="141"/>
      <c r="N61" s="134"/>
      <c r="O61" s="134"/>
      <c r="P61" s="134"/>
      <c r="Q61" s="138"/>
      <c r="R61" s="138"/>
      <c r="S61" s="151"/>
      <c r="T61" s="152"/>
      <c r="U61" s="134"/>
      <c r="V61" s="134"/>
    </row>
    <row r="62" spans="1:22" ht="33.75" customHeight="1" x14ac:dyDescent="0.15">
      <c r="A62" s="134"/>
      <c r="B62" s="134"/>
      <c r="C62" s="138"/>
      <c r="D62" s="138"/>
      <c r="E62" s="143"/>
      <c r="F62" s="141"/>
      <c r="G62" s="134"/>
      <c r="H62" s="134"/>
      <c r="I62" s="134"/>
      <c r="J62" s="138">
        <f ca="1">IFERROR(__xludf.DUMMYFUNCTION("""COMPUTED_VALUE"""),2878126)</f>
        <v>2878126</v>
      </c>
      <c r="K62" s="138" t="str">
        <f ca="1">IFERROR(__xludf.DUMMYFUNCTION("""COMPUTED_VALUE"""),"General")</f>
        <v>General</v>
      </c>
      <c r="L62" s="139" t="str">
        <f ca="1">IFERROR(__xludf.DUMMYFUNCTION("""COMPUTED_VALUE"""),"Difficult Conversations about Politics at Work")</f>
        <v>Difficult Conversations about Politics at Work</v>
      </c>
      <c r="M62" s="141"/>
      <c r="N62" s="134"/>
      <c r="O62" s="134"/>
      <c r="P62" s="134"/>
      <c r="Q62" s="138"/>
      <c r="R62" s="138"/>
      <c r="S62" s="151"/>
      <c r="T62" s="152"/>
      <c r="U62" s="134"/>
      <c r="V62" s="134"/>
    </row>
    <row r="63" spans="1:22" ht="33.75" customHeight="1" x14ac:dyDescent="0.15">
      <c r="A63" s="134"/>
      <c r="B63" s="134"/>
      <c r="C63" s="138"/>
      <c r="D63" s="138"/>
      <c r="E63" s="143"/>
      <c r="F63" s="141"/>
      <c r="G63" s="134"/>
      <c r="H63" s="134"/>
      <c r="I63" s="134"/>
      <c r="J63" s="138">
        <f ca="1">IFERROR(__xludf.DUMMYFUNCTION("""COMPUTED_VALUE"""),2857061)</f>
        <v>2857061</v>
      </c>
      <c r="K63" s="138" t="str">
        <f ca="1">IFERROR(__xludf.DUMMYFUNCTION("""COMPUTED_VALUE"""),"General")</f>
        <v>General</v>
      </c>
      <c r="L63" s="139" t="str">
        <f ca="1">IFERROR(__xludf.DUMMYFUNCTION("""COMPUTED_VALUE"""),"17 PR Mistakes to Avoid")</f>
        <v>17 PR Mistakes to Avoid</v>
      </c>
      <c r="M63" s="141"/>
      <c r="N63" s="134"/>
      <c r="O63" s="134"/>
      <c r="P63" s="134"/>
      <c r="Q63" s="138"/>
      <c r="R63" s="138"/>
      <c r="S63" s="151"/>
      <c r="T63" s="152"/>
      <c r="U63" s="134"/>
      <c r="V63" s="134"/>
    </row>
    <row r="64" spans="1:22" ht="33.75" customHeight="1" x14ac:dyDescent="0.15">
      <c r="A64" s="134"/>
      <c r="B64" s="134"/>
      <c r="C64" s="138"/>
      <c r="D64" s="138"/>
      <c r="E64" s="143"/>
      <c r="F64" s="141"/>
      <c r="G64" s="134"/>
      <c r="H64" s="134"/>
      <c r="I64" s="134"/>
      <c r="J64" s="138">
        <f ca="1">IFERROR(__xludf.DUMMYFUNCTION("""COMPUTED_VALUE"""),2824373)</f>
        <v>2824373</v>
      </c>
      <c r="K64" s="138" t="str">
        <f ca="1">IFERROR(__xludf.DUMMYFUNCTION("""COMPUTED_VALUE"""),"General")</f>
        <v>General</v>
      </c>
      <c r="L64" s="139" t="str">
        <f ca="1">IFERROR(__xludf.DUMMYFUNCTION("""COMPUTED_VALUE"""),"The Step-by-Step Guide to Building your Thought Leadership on LinkedIn")</f>
        <v>The Step-by-Step Guide to Building your Thought Leadership on LinkedIn</v>
      </c>
      <c r="M64" s="141"/>
      <c r="N64" s="134"/>
      <c r="O64" s="134"/>
      <c r="P64" s="134"/>
      <c r="Q64" s="138"/>
      <c r="R64" s="138"/>
      <c r="S64" s="151"/>
      <c r="T64" s="152"/>
      <c r="U64" s="134"/>
      <c r="V64" s="134"/>
    </row>
    <row r="65" spans="1:22" ht="33.75" customHeight="1" x14ac:dyDescent="0.15">
      <c r="A65" s="134"/>
      <c r="B65" s="134"/>
      <c r="C65" s="138"/>
      <c r="D65" s="138"/>
      <c r="E65" s="143"/>
      <c r="F65" s="141"/>
      <c r="G65" s="134"/>
      <c r="H65" s="134"/>
      <c r="I65" s="134"/>
      <c r="J65" s="138">
        <f ca="1">IFERROR(__xludf.DUMMYFUNCTION("""COMPUTED_VALUE"""),2874051)</f>
        <v>2874051</v>
      </c>
      <c r="K65" s="138" t="str">
        <f ca="1">IFERROR(__xludf.DUMMYFUNCTION("""COMPUTED_VALUE"""),"General")</f>
        <v>General</v>
      </c>
      <c r="L65" s="139" t="str">
        <f ca="1">IFERROR(__xludf.DUMMYFUNCTION("""COMPUTED_VALUE"""),"Listen to Lead")</f>
        <v>Listen to Lead</v>
      </c>
      <c r="M65" s="141"/>
      <c r="N65" s="134"/>
      <c r="O65" s="134"/>
      <c r="P65" s="134"/>
      <c r="Q65" s="138"/>
      <c r="R65" s="138"/>
      <c r="S65" s="151"/>
      <c r="T65" s="152"/>
      <c r="U65" s="134"/>
      <c r="V65" s="134"/>
    </row>
    <row r="66" spans="1:22" ht="33.75" customHeight="1" x14ac:dyDescent="0.15">
      <c r="A66" s="134"/>
      <c r="B66" s="134"/>
      <c r="C66" s="138"/>
      <c r="D66" s="138"/>
      <c r="E66" s="143"/>
      <c r="F66" s="141"/>
      <c r="G66" s="134"/>
      <c r="H66" s="134"/>
      <c r="I66" s="134"/>
      <c r="J66" s="138">
        <f ca="1">IFERROR(__xludf.DUMMYFUNCTION("""COMPUTED_VALUE"""),2874052)</f>
        <v>2874052</v>
      </c>
      <c r="K66" s="138" t="str">
        <f ca="1">IFERROR(__xludf.DUMMYFUNCTION("""COMPUTED_VALUE"""),"General")</f>
        <v>General</v>
      </c>
      <c r="L66" s="139" t="str">
        <f ca="1">IFERROR(__xludf.DUMMYFUNCTION("""COMPUTED_VALUE"""),"Having Powerful, Advanced Conversations")</f>
        <v>Having Powerful, Advanced Conversations</v>
      </c>
      <c r="M66" s="141"/>
      <c r="N66" s="134"/>
      <c r="O66" s="134"/>
      <c r="P66" s="134"/>
      <c r="Q66" s="138"/>
      <c r="R66" s="138"/>
      <c r="S66" s="151"/>
      <c r="T66" s="152"/>
      <c r="U66" s="134"/>
      <c r="V66" s="134"/>
    </row>
    <row r="67" spans="1:22" ht="33.75" customHeight="1" x14ac:dyDescent="0.15">
      <c r="A67" s="134"/>
      <c r="B67" s="134"/>
      <c r="C67" s="138"/>
      <c r="D67" s="138"/>
      <c r="E67" s="143"/>
      <c r="F67" s="141"/>
      <c r="G67" s="134"/>
      <c r="H67" s="134"/>
      <c r="I67" s="134"/>
      <c r="J67" s="138">
        <f ca="1">IFERROR(__xludf.DUMMYFUNCTION("""COMPUTED_VALUE"""),2829004)</f>
        <v>2829004</v>
      </c>
      <c r="K67" s="138" t="str">
        <f ca="1">IFERROR(__xludf.DUMMYFUNCTION("""COMPUTED_VALUE"""),"General")</f>
        <v>General</v>
      </c>
      <c r="L67" s="139" t="str">
        <f ca="1">IFERROR(__xludf.DUMMYFUNCTION("""COMPUTED_VALUE"""),"Managing Your Emotions at Work")</f>
        <v>Managing Your Emotions at Work</v>
      </c>
      <c r="M67" s="141"/>
      <c r="N67" s="134"/>
      <c r="O67" s="134"/>
      <c r="P67" s="134"/>
      <c r="Q67" s="138"/>
      <c r="R67" s="138"/>
      <c r="S67" s="151"/>
      <c r="T67" s="152"/>
      <c r="U67" s="134"/>
      <c r="V67" s="134"/>
    </row>
    <row r="68" spans="1:22" ht="33.75" customHeight="1" x14ac:dyDescent="0.15">
      <c r="A68" s="134"/>
      <c r="B68" s="134"/>
      <c r="C68" s="138"/>
      <c r="D68" s="138"/>
      <c r="E68" s="143"/>
      <c r="F68" s="141"/>
      <c r="G68" s="134"/>
      <c r="H68" s="134"/>
      <c r="I68" s="134"/>
      <c r="J68" s="138">
        <f ca="1">IFERROR(__xludf.DUMMYFUNCTION("""COMPUTED_VALUE"""),2848322)</f>
        <v>2848322</v>
      </c>
      <c r="K68" s="138" t="str">
        <f ca="1">IFERROR(__xludf.DUMMYFUNCTION("""COMPUTED_VALUE"""),"General")</f>
        <v>General</v>
      </c>
      <c r="L68" s="139" t="str">
        <f ca="1">IFERROR(__xludf.DUMMYFUNCTION("""COMPUTED_VALUE"""),"How to Develop Friendships and Connect Meaningfully with Work Colleagues")</f>
        <v>How to Develop Friendships and Connect Meaningfully with Work Colleagues</v>
      </c>
      <c r="M68" s="141"/>
      <c r="N68" s="134"/>
      <c r="O68" s="134"/>
      <c r="P68" s="134"/>
      <c r="Q68" s="138"/>
      <c r="R68" s="138"/>
      <c r="S68" s="151"/>
      <c r="T68" s="152"/>
      <c r="U68" s="134"/>
      <c r="V68" s="134"/>
    </row>
    <row r="69" spans="1:22" ht="33.75" customHeight="1" x14ac:dyDescent="0.15">
      <c r="A69" s="134"/>
      <c r="B69" s="134"/>
      <c r="C69" s="138"/>
      <c r="D69" s="138"/>
      <c r="E69" s="143"/>
      <c r="F69" s="141"/>
      <c r="G69" s="134"/>
      <c r="H69" s="134"/>
      <c r="I69" s="134"/>
      <c r="J69" s="138">
        <f ca="1">IFERROR(__xludf.DUMMYFUNCTION("""COMPUTED_VALUE"""),2825738)</f>
        <v>2825738</v>
      </c>
      <c r="K69" s="138" t="str">
        <f ca="1">IFERROR(__xludf.DUMMYFUNCTION("""COMPUTED_VALUE"""),"General")</f>
        <v>General</v>
      </c>
      <c r="L69" s="139" t="str">
        <f ca="1">IFERROR(__xludf.DUMMYFUNCTION("""COMPUTED_VALUE"""),"Complex Negotiation Tips")</f>
        <v>Complex Negotiation Tips</v>
      </c>
      <c r="M69" s="141"/>
      <c r="N69" s="134"/>
      <c r="O69" s="134"/>
      <c r="P69" s="134"/>
      <c r="Q69" s="138"/>
      <c r="R69" s="138"/>
      <c r="S69" s="151"/>
      <c r="T69" s="152"/>
      <c r="U69" s="134"/>
      <c r="V69" s="134"/>
    </row>
    <row r="70" spans="1:22" ht="33.75" customHeight="1" x14ac:dyDescent="0.15">
      <c r="A70" s="134"/>
      <c r="B70" s="134"/>
      <c r="C70" s="138"/>
      <c r="D70" s="138"/>
      <c r="E70" s="143"/>
      <c r="F70" s="141"/>
      <c r="G70" s="134"/>
      <c r="H70" s="134"/>
      <c r="I70" s="134"/>
      <c r="J70" s="138">
        <f ca="1">IFERROR(__xludf.DUMMYFUNCTION("""COMPUTED_VALUE"""),612162)</f>
        <v>612162</v>
      </c>
      <c r="K70" s="138" t="str">
        <f ca="1">IFERROR(__xludf.DUMMYFUNCTION("""COMPUTED_VALUE"""),"Intermediate")</f>
        <v>Intermediate</v>
      </c>
      <c r="L70" s="139" t="str">
        <f ca="1">IFERROR(__xludf.DUMMYFUNCTION("""COMPUTED_VALUE"""),"Communicating with Diplomacy and Tact")</f>
        <v>Communicating with Diplomacy and Tact</v>
      </c>
      <c r="M70" s="141"/>
      <c r="N70" s="134"/>
      <c r="O70" s="134"/>
      <c r="P70" s="134"/>
      <c r="Q70" s="138"/>
      <c r="R70" s="138"/>
      <c r="S70" s="151"/>
      <c r="T70" s="152"/>
      <c r="U70" s="134"/>
      <c r="V70" s="134"/>
    </row>
    <row r="71" spans="1:22" ht="33.75" customHeight="1" x14ac:dyDescent="0.15">
      <c r="A71" s="134"/>
      <c r="B71" s="134"/>
      <c r="C71" s="138"/>
      <c r="D71" s="138"/>
      <c r="E71" s="143"/>
      <c r="F71" s="141"/>
      <c r="G71" s="134"/>
      <c r="H71" s="134"/>
      <c r="I71" s="134"/>
      <c r="J71" s="138">
        <f ca="1">IFERROR(__xludf.DUMMYFUNCTION("""COMPUTED_VALUE"""),170778)</f>
        <v>170778</v>
      </c>
      <c r="K71" s="138" t="str">
        <f ca="1">IFERROR(__xludf.DUMMYFUNCTION("""COMPUTED_VALUE"""),"Intermediate")</f>
        <v>Intermediate</v>
      </c>
      <c r="L71" s="139" t="str">
        <f ca="1">IFERROR(__xludf.DUMMYFUNCTION("""COMPUTED_VALUE"""),"Communication Tips")</f>
        <v>Communication Tips</v>
      </c>
      <c r="M71" s="141"/>
      <c r="N71" s="134"/>
      <c r="O71" s="134"/>
      <c r="P71" s="134"/>
      <c r="Q71" s="138"/>
      <c r="R71" s="138"/>
      <c r="S71" s="151"/>
      <c r="T71" s="152"/>
      <c r="U71" s="134"/>
      <c r="V71" s="134"/>
    </row>
    <row r="72" spans="1:22" ht="33.75" customHeight="1" x14ac:dyDescent="0.15">
      <c r="A72" s="134"/>
      <c r="B72" s="134"/>
      <c r="C72" s="138"/>
      <c r="D72" s="138"/>
      <c r="E72" s="143"/>
      <c r="F72" s="141"/>
      <c r="G72" s="134"/>
      <c r="H72" s="134"/>
      <c r="I72" s="134"/>
      <c r="J72" s="138">
        <f ca="1">IFERROR(__xludf.DUMMYFUNCTION("""COMPUTED_VALUE"""),656781)</f>
        <v>656781</v>
      </c>
      <c r="K72" s="138" t="str">
        <f ca="1">IFERROR(__xludf.DUMMYFUNCTION("""COMPUTED_VALUE"""),"Intermediate")</f>
        <v>Intermediate</v>
      </c>
      <c r="L72" s="139" t="str">
        <f ca="1">IFERROR(__xludf.DUMMYFUNCTION("""COMPUTED_VALUE"""),"Facilitation Skills for Managers and Leaders")</f>
        <v>Facilitation Skills for Managers and Leaders</v>
      </c>
      <c r="M72" s="141"/>
      <c r="N72" s="134"/>
      <c r="O72" s="134"/>
      <c r="P72" s="134"/>
      <c r="Q72" s="138"/>
      <c r="R72" s="138"/>
      <c r="S72" s="151"/>
      <c r="T72" s="152"/>
      <c r="U72" s="134"/>
      <c r="V72" s="134"/>
    </row>
    <row r="73" spans="1:22" ht="33.75" customHeight="1" x14ac:dyDescent="0.15">
      <c r="A73" s="134"/>
      <c r="B73" s="134"/>
      <c r="C73" s="138"/>
      <c r="D73" s="138"/>
      <c r="E73" s="143"/>
      <c r="F73" s="141"/>
      <c r="G73" s="134"/>
      <c r="H73" s="134"/>
      <c r="I73" s="134"/>
      <c r="J73" s="138">
        <f ca="1">IFERROR(__xludf.DUMMYFUNCTION("""COMPUTED_VALUE"""),743144)</f>
        <v>743144</v>
      </c>
      <c r="K73" s="138" t="str">
        <f ca="1">IFERROR(__xludf.DUMMYFUNCTION("""COMPUTED_VALUE"""),"Intermediate")</f>
        <v>Intermediate</v>
      </c>
      <c r="L73" s="139" t="str">
        <f ca="1">IFERROR(__xludf.DUMMYFUNCTION("""COMPUTED_VALUE"""),"Preparing for Successful Communication")</f>
        <v>Preparing for Successful Communication</v>
      </c>
      <c r="M73" s="141"/>
      <c r="N73" s="134"/>
      <c r="O73" s="134"/>
      <c r="P73" s="134"/>
      <c r="Q73" s="138"/>
      <c r="R73" s="138"/>
      <c r="S73" s="151"/>
      <c r="T73" s="152"/>
      <c r="U73" s="134"/>
      <c r="V73" s="134"/>
    </row>
    <row r="74" spans="1:22" ht="33.75" customHeight="1" x14ac:dyDescent="0.15">
      <c r="A74" s="134"/>
      <c r="B74" s="134"/>
      <c r="C74" s="138"/>
      <c r="D74" s="138"/>
      <c r="E74" s="143"/>
      <c r="F74" s="141"/>
      <c r="G74" s="134"/>
      <c r="H74" s="134"/>
      <c r="I74" s="134"/>
      <c r="J74" s="138">
        <f ca="1">IFERROR(__xludf.DUMMYFUNCTION("""COMPUTED_VALUE"""),2811020)</f>
        <v>2811020</v>
      </c>
      <c r="K74" s="138" t="str">
        <f ca="1">IFERROR(__xludf.DUMMYFUNCTION("""COMPUTED_VALUE"""),"Intermediate")</f>
        <v>Intermediate</v>
      </c>
      <c r="L74" s="139" t="str">
        <f ca="1">IFERROR(__xludf.DUMMYFUNCTION("""COMPUTED_VALUE"""),"Navigating Politics as a Senior Leader")</f>
        <v>Navigating Politics as a Senior Leader</v>
      </c>
      <c r="M74" s="141"/>
      <c r="N74" s="134"/>
      <c r="O74" s="134"/>
      <c r="P74" s="134"/>
      <c r="Q74" s="138"/>
      <c r="R74" s="138"/>
      <c r="S74" s="151"/>
      <c r="T74" s="152"/>
      <c r="U74" s="134"/>
      <c r="V74" s="134"/>
    </row>
    <row r="75" spans="1:22" ht="15" x14ac:dyDescent="0.15">
      <c r="A75" s="134"/>
      <c r="B75" s="134"/>
      <c r="C75" s="138"/>
      <c r="D75" s="138"/>
      <c r="E75" s="143"/>
      <c r="F75" s="141"/>
      <c r="G75" s="134"/>
      <c r="H75" s="134"/>
      <c r="I75" s="134"/>
      <c r="J75" s="138">
        <f ca="1">IFERROR(__xludf.DUMMYFUNCTION("""COMPUTED_VALUE"""),2814066)</f>
        <v>2814066</v>
      </c>
      <c r="K75" s="138" t="str">
        <f ca="1">IFERROR(__xludf.DUMMYFUNCTION("""COMPUTED_VALUE"""),"Intermediate")</f>
        <v>Intermediate</v>
      </c>
      <c r="L75" s="139" t="str">
        <f ca="1">IFERROR(__xludf.DUMMYFUNCTION("""COMPUTED_VALUE"""),"Leading with Kindness and Strength")</f>
        <v>Leading with Kindness and Strength</v>
      </c>
      <c r="M75" s="141"/>
      <c r="N75" s="134"/>
      <c r="O75" s="134"/>
      <c r="P75" s="134"/>
      <c r="Q75" s="138"/>
      <c r="R75" s="138"/>
      <c r="S75" s="151"/>
      <c r="T75" s="152"/>
      <c r="U75" s="134"/>
      <c r="V75" s="134"/>
    </row>
    <row r="76" spans="1:22" ht="15" x14ac:dyDescent="0.15">
      <c r="A76" s="134"/>
      <c r="B76" s="134"/>
      <c r="C76" s="138"/>
      <c r="D76" s="138"/>
      <c r="E76" s="143"/>
      <c r="F76" s="141"/>
      <c r="G76" s="134"/>
      <c r="H76" s="134"/>
      <c r="I76" s="134"/>
      <c r="J76" s="138">
        <f ca="1">IFERROR(__xludf.DUMMYFUNCTION("""COMPUTED_VALUE"""),2252216)</f>
        <v>2252216</v>
      </c>
      <c r="K76" s="138" t="str">
        <f ca="1">IFERROR(__xludf.DUMMYFUNCTION("""COMPUTED_VALUE"""),"Intermediate")</f>
        <v>Intermediate</v>
      </c>
      <c r="L76" s="139" t="str">
        <f ca="1">IFERROR(__xludf.DUMMYFUNCTION("""COMPUTED_VALUE"""),"Leading from the Middle")</f>
        <v>Leading from the Middle</v>
      </c>
      <c r="M76" s="141"/>
      <c r="N76" s="134"/>
      <c r="O76" s="134"/>
      <c r="P76" s="134"/>
      <c r="Q76" s="138"/>
      <c r="R76" s="138"/>
      <c r="S76" s="151"/>
      <c r="T76" s="152"/>
      <c r="U76" s="134"/>
      <c r="V76" s="134"/>
    </row>
    <row r="77" spans="1:22" ht="30" x14ac:dyDescent="0.15">
      <c r="A77" s="134"/>
      <c r="B77" s="134"/>
      <c r="C77" s="138"/>
      <c r="D77" s="138"/>
      <c r="E77" s="143"/>
      <c r="F77" s="141"/>
      <c r="G77" s="134"/>
      <c r="H77" s="134"/>
      <c r="I77" s="134"/>
      <c r="J77" s="138">
        <f ca="1">IFERROR(__xludf.DUMMYFUNCTION("""COMPUTED_VALUE"""),2836032)</f>
        <v>2836032</v>
      </c>
      <c r="K77" s="138" t="str">
        <f ca="1">IFERROR(__xludf.DUMMYFUNCTION("""COMPUTED_VALUE"""),"Intermediate")</f>
        <v>Intermediate</v>
      </c>
      <c r="L77" s="139" t="str">
        <f ca="1">IFERROR(__xludf.DUMMYFUNCTION("""COMPUTED_VALUE"""),"The Surprising Science of Meetings (getAbstract Summary)")</f>
        <v>The Surprising Science of Meetings (getAbstract Summary)</v>
      </c>
      <c r="M77" s="141"/>
      <c r="N77" s="134"/>
      <c r="O77" s="134"/>
      <c r="P77" s="134"/>
      <c r="Q77" s="138"/>
      <c r="R77" s="138"/>
      <c r="S77" s="151"/>
      <c r="T77" s="152"/>
      <c r="U77" s="134"/>
      <c r="V77" s="134"/>
    </row>
    <row r="78" spans="1:22" ht="15" x14ac:dyDescent="0.15">
      <c r="A78" s="134"/>
      <c r="B78" s="134"/>
      <c r="C78" s="138"/>
      <c r="D78" s="138"/>
      <c r="E78" s="143"/>
      <c r="F78" s="141"/>
      <c r="G78" s="134"/>
      <c r="H78" s="134"/>
      <c r="I78" s="134"/>
      <c r="J78" s="138">
        <f ca="1">IFERROR(__xludf.DUMMYFUNCTION("""COMPUTED_VALUE"""),2839042)</f>
        <v>2839042</v>
      </c>
      <c r="K78" s="138" t="str">
        <f ca="1">IFERROR(__xludf.DUMMYFUNCTION("""COMPUTED_VALUE"""),"Intermediate")</f>
        <v>Intermediate</v>
      </c>
      <c r="L78" s="139" t="str">
        <f ca="1">IFERROR(__xludf.DUMMYFUNCTION("""COMPUTED_VALUE"""),"Successful Networking")</f>
        <v>Successful Networking</v>
      </c>
      <c r="M78" s="141"/>
      <c r="N78" s="134"/>
      <c r="O78" s="134"/>
      <c r="P78" s="134"/>
      <c r="Q78" s="138"/>
      <c r="R78" s="138"/>
      <c r="S78" s="151"/>
      <c r="T78" s="152"/>
      <c r="U78" s="134"/>
      <c r="V78" s="134"/>
    </row>
    <row r="79" spans="1:22" ht="15" x14ac:dyDescent="0.15">
      <c r="A79" s="134"/>
      <c r="B79" s="134"/>
      <c r="C79" s="138"/>
      <c r="D79" s="138"/>
      <c r="E79" s="143"/>
      <c r="F79" s="141"/>
      <c r="G79" s="134"/>
      <c r="H79" s="134"/>
      <c r="I79" s="134"/>
      <c r="J79" s="138">
        <f ca="1">IFERROR(__xludf.DUMMYFUNCTION("""COMPUTED_VALUE"""),2825490)</f>
        <v>2825490</v>
      </c>
      <c r="K79" s="138" t="str">
        <f ca="1">IFERROR(__xludf.DUMMYFUNCTION("""COMPUTED_VALUE"""),"Intermediate")</f>
        <v>Intermediate</v>
      </c>
      <c r="L79" s="139" t="str">
        <f ca="1">IFERROR(__xludf.DUMMYFUNCTION("""COMPUTED_VALUE"""),"Building Your Visibility as a Leader")</f>
        <v>Building Your Visibility as a Leader</v>
      </c>
      <c r="M79" s="141"/>
      <c r="N79" s="134"/>
      <c r="O79" s="134"/>
      <c r="P79" s="134"/>
      <c r="Q79" s="138"/>
      <c r="R79" s="138"/>
      <c r="S79" s="151"/>
      <c r="T79" s="152"/>
      <c r="U79" s="134"/>
      <c r="V79" s="134"/>
    </row>
    <row r="80" spans="1:22" ht="14" x14ac:dyDescent="0.15">
      <c r="A80" s="134"/>
      <c r="B80" s="134"/>
      <c r="C80" s="138"/>
      <c r="D80" s="138"/>
      <c r="E80" s="143"/>
      <c r="F80" s="141"/>
      <c r="G80" s="134"/>
      <c r="H80" s="134"/>
      <c r="I80" s="134"/>
      <c r="J80" s="138"/>
      <c r="K80" s="138"/>
      <c r="L80" s="151"/>
      <c r="M80" s="152"/>
      <c r="N80" s="134"/>
      <c r="O80" s="134"/>
      <c r="P80" s="134"/>
      <c r="Q80" s="138"/>
      <c r="R80" s="138"/>
      <c r="S80" s="151"/>
      <c r="T80" s="152"/>
      <c r="U80" s="134"/>
      <c r="V80" s="134"/>
    </row>
  </sheetData>
  <mergeCells count="9">
    <mergeCell ref="Q2:T2"/>
    <mergeCell ref="Q3:T3"/>
    <mergeCell ref="C1:F1"/>
    <mergeCell ref="J1:M1"/>
    <mergeCell ref="Q1:T1"/>
    <mergeCell ref="C2:F2"/>
    <mergeCell ref="J2:M2"/>
    <mergeCell ref="C3:F3"/>
    <mergeCell ref="J3:M3"/>
  </mergeCells>
  <hyperlinks>
    <hyperlink ref="E5" r:id="rId1" display="https://www.linkedin.com/learning/working-in-harmony-as-a-senior-team" xr:uid="{00000000-0004-0000-0500-000000000000}"/>
    <hyperlink ref="F5" r:id="rId2" display="https://www.linkedin.com/learning/paths/become-an-inclusive-leader" xr:uid="{00000000-0004-0000-0500-000001000000}"/>
    <hyperlink ref="L5" r:id="rId3" display="https://www.linkedin.com/learning/advanced-business-development-communication-and-negotiation" xr:uid="{00000000-0004-0000-0500-000002000000}"/>
    <hyperlink ref="M5" r:id="rId4" display="https://www.linkedin.com/learning/paths/fostering-collaboration" xr:uid="{00000000-0004-0000-0500-000003000000}"/>
    <hyperlink ref="S5" r:id="rId5" display="https://www.linkedin.com/learning/crisis-communication" xr:uid="{00000000-0004-0000-0500-000004000000}"/>
    <hyperlink ref="T5" r:id="rId6" display="https://www.linkedin.com/learning/paths/improve-your-teamwork-skills" xr:uid="{00000000-0004-0000-0500-000005000000}"/>
    <hyperlink ref="E6" r:id="rId7" display="https://www.linkedin.com/learning/cross-functional-sales-teams" xr:uid="{00000000-0004-0000-0500-000006000000}"/>
    <hyperlink ref="F6" r:id="rId8" display="https://www.linkedin.com/learning/paths/fostering-collaboration" xr:uid="{00000000-0004-0000-0500-000007000000}"/>
    <hyperlink ref="L6" r:id="rId9" display="https://www.linkedin.com/learning/crisis-communication-for-hr" xr:uid="{00000000-0004-0000-0500-000008000000}"/>
    <hyperlink ref="M6" r:id="rId10" display="https://www.linkedin.com/learning/paths/improve-your-interoffice-politics-skills" xr:uid="{00000000-0004-0000-0500-000009000000}"/>
    <hyperlink ref="S6" r:id="rId11" display="https://www.linkedin.com/learning/de-escalating-intense-situations" xr:uid="{00000000-0004-0000-0500-00000A000000}"/>
    <hyperlink ref="T6" r:id="rId12" display="https://www.linkedin.com/learning/paths/succeeding-in-sales-during-times-of-volatility" xr:uid="{00000000-0004-0000-0500-00000B000000}"/>
    <hyperlink ref="E7" r:id="rId13" display="https://www.linkedin.com/learning/how-to-build-rapport-quickly" xr:uid="{00000000-0004-0000-0500-00000C000000}"/>
    <hyperlink ref="F7" r:id="rId14" display="https://www.linkedin.com/learning/paths/improve-your-teamwork-skills" xr:uid="{00000000-0004-0000-0500-00000D000000}"/>
    <hyperlink ref="L7" r:id="rId15" display="https://www.linkedin.com/learning/strategic-negotiation" xr:uid="{00000000-0004-0000-0500-00000E000000}"/>
    <hyperlink ref="M7" r:id="rId16" display="https://www.linkedin.com/learning/paths/improve-your-teamwork-skills" xr:uid="{00000000-0004-0000-0500-00000F000000}"/>
    <hyperlink ref="S7" r:id="rId17" display="https://www.linkedin.com/learning/how-to-proactively-manage-conflict-as-an-employee" xr:uid="{00000000-0004-0000-0500-000010000000}"/>
    <hyperlink ref="T7" r:id="rId18" display="https://www.linkedin.com/learning/paths/master-in-demand-professional-soft-skills" xr:uid="{00000000-0004-0000-0500-000011000000}"/>
    <hyperlink ref="E8" r:id="rId19" display="https://www.linkedin.com/learning/become-a-super-collaborator" xr:uid="{00000000-0004-0000-0500-000012000000}"/>
    <hyperlink ref="F8" r:id="rId20" display="https://www.linkedin.com/learning/paths/digital-transformation-in-practice-virtual-collaboration-tools" xr:uid="{00000000-0004-0000-0500-000013000000}"/>
    <hyperlink ref="L8" r:id="rId21" display="https://www.linkedin.com/learning/communicating-with-confidence" xr:uid="{00000000-0004-0000-0500-000014000000}"/>
    <hyperlink ref="M8" r:id="rId22" display="https://www.linkedin.com/learning/paths/master-in-demand-professional-soft-skills" xr:uid="{00000000-0004-0000-0500-000015000000}"/>
    <hyperlink ref="S8" r:id="rId23" display="https://www.linkedin.com/learning/how-to-resolve-conflict-and-boost-productivity-through-deep-listening" xr:uid="{00000000-0004-0000-0500-000016000000}"/>
    <hyperlink ref="T8" r:id="rId24" display="https://www.linkedin.com/learning/paths/develop-conflict-management-and-resolution-skills" xr:uid="{00000000-0004-0000-0500-000017000000}"/>
    <hyperlink ref="E9" r:id="rId25" display="https://www.linkedin.com/learning/collaboration-principles-and-process" xr:uid="{00000000-0004-0000-0500-000018000000}"/>
    <hyperlink ref="F9" r:id="rId26" display="https://www.linkedin.com/learning/paths/advance-your-skills-as-an-individual-contributor" xr:uid="{00000000-0004-0000-0500-000019000000}"/>
    <hyperlink ref="L9" r:id="rId27" display="https://www.linkedin.com/learning/communicating-with-empathy" xr:uid="{00000000-0004-0000-0500-00001A000000}"/>
    <hyperlink ref="M9" r:id="rId28" display="https://www.linkedin.com/learning/paths/visual-communication-for-business-professionals" xr:uid="{00000000-0004-0000-0500-00001B000000}"/>
    <hyperlink ref="S9" r:id="rId29" display="https://www.linkedin.com/learning/dealing-with-disappointment-in-your-role" xr:uid="{00000000-0004-0000-0500-00001C000000}"/>
    <hyperlink ref="E10" r:id="rId30" display="https://www.linkedin.com/learning/communicating-with-empathy" xr:uid="{00000000-0004-0000-0500-00001D000000}"/>
    <hyperlink ref="F10" r:id="rId31" display="https://www.linkedin.com/learning/paths/building-trust-and-collaborating-with-others-2" xr:uid="{00000000-0004-0000-0500-00001E000000}"/>
    <hyperlink ref="L10" r:id="rId32" display="https://www.linkedin.com/learning/communication-foundations-2" xr:uid="{00000000-0004-0000-0500-00001F000000}"/>
    <hyperlink ref="M10" r:id="rId33" display="https://www.linkedin.com/learning/paths/develop-your-communication-skills-and-interpersonal-influence" xr:uid="{00000000-0004-0000-0500-000020000000}"/>
    <hyperlink ref="S10" r:id="rId34" display="https://www.linkedin.com/learning/communicating-with-empathy/welcome" xr:uid="{00000000-0004-0000-0500-000021000000}"/>
    <hyperlink ref="E11" r:id="rId35" display="https://www.linkedin.com/learning/communication-within-teams" xr:uid="{00000000-0004-0000-0500-000022000000}"/>
    <hyperlink ref="L11" r:id="rId36" display="https://www.linkedin.com/learning/communication-within-teams" xr:uid="{00000000-0004-0000-0500-000023000000}"/>
    <hyperlink ref="S11" r:id="rId37" display="https://www.linkedin.com/learning/conflict-resolution-foundations-4" xr:uid="{00000000-0004-0000-0500-000024000000}"/>
    <hyperlink ref="E12" r:id="rId38" display="https://www.linkedin.com/learning/developing-self-awareness" xr:uid="{00000000-0004-0000-0500-000025000000}"/>
    <hyperlink ref="L12" r:id="rId39" display="https://www.linkedin.com/learning/effective-listening" xr:uid="{00000000-0004-0000-0500-000026000000}"/>
    <hyperlink ref="S12" r:id="rId40" display="https://www.linkedin.com/learning/fred-kofman-on-managing-conflict" xr:uid="{00000000-0004-0000-0500-000027000000}"/>
    <hyperlink ref="E13" r:id="rId41" display="https://www.linkedin.com/learning/developing-your-emotional-intelligence" xr:uid="{00000000-0004-0000-0500-000028000000}"/>
    <hyperlink ref="L13" r:id="rId42" display="https://www.linkedin.com/learning/influencing-others" xr:uid="{00000000-0004-0000-0500-000029000000}"/>
    <hyperlink ref="S13" r:id="rId43" display="https://www.linkedin.com/learning/having-difficult-conversations-2" xr:uid="{00000000-0004-0000-0500-00002A000000}"/>
    <hyperlink ref="E14" r:id="rId44" display="https://www.linkedin.com/learning/developing-your-professional-image/the-resilience-mindset" xr:uid="{00000000-0004-0000-0500-00002B000000}"/>
    <hyperlink ref="L14" r:id="rId45" display="https://www.linkedin.com/learning/interpersonal-communication/welcome" xr:uid="{00000000-0004-0000-0500-00002C000000}"/>
    <hyperlink ref="S14" r:id="rId46" display="https://www.linkedin.com/learning/improving-your-conflict-competence" xr:uid="{00000000-0004-0000-0500-00002D000000}"/>
    <hyperlink ref="E15" r:id="rId47" display="https://www.linkedin.com/learning/effective-listening" xr:uid="{00000000-0004-0000-0500-00002E000000}"/>
    <hyperlink ref="L15" r:id="rId48" display="https://www.linkedin.com/learning/learning-to-be-approachable" xr:uid="{00000000-0004-0000-0500-00002F000000}"/>
    <hyperlink ref="S15" r:id="rId49" display="https://www.linkedin.com/learning/jeff-weiner-on-managing-compassionately" xr:uid="{00000000-0004-0000-0500-000030000000}"/>
    <hyperlink ref="E16" r:id="rId50" display="https://www.linkedin.com/learning/interpersonal-communication/welcome" xr:uid="{00000000-0004-0000-0500-000031000000}"/>
    <hyperlink ref="L16" r:id="rId51" display="https://www.linkedin.com/learning/managing-office-politics" xr:uid="{00000000-0004-0000-0500-000032000000}"/>
    <hyperlink ref="S16" r:id="rId52" display="https://www.linkedin.com/learning/dealing-with-difficult-people-in-your-office" xr:uid="{00000000-0004-0000-0500-000033000000}"/>
    <hyperlink ref="E17" r:id="rId53" display="https://www.linkedin.com/learning/leading-inclusive-teams" xr:uid="{00000000-0004-0000-0500-000034000000}"/>
    <hyperlink ref="L17" r:id="rId54" display="https://www.linkedin.com/learning/negotiation-foundations/welcome?u=104" xr:uid="{00000000-0004-0000-0500-000035000000}"/>
    <hyperlink ref="S17" r:id="rId55" display="https://www.linkedin.com/learning/project-audio-highlights-2020" xr:uid="{00000000-0004-0000-0500-000036000000}"/>
    <hyperlink ref="E18" r:id="rId56" display="https://www.linkedin.com/learning/professional-networking" xr:uid="{00000000-0004-0000-0500-000037000000}"/>
    <hyperlink ref="L18" r:id="rId57" display="https://www.linkedin.com/learning/negotiation-skills/instead-of-yes-or-no-negotiate" xr:uid="{00000000-0004-0000-0500-000038000000}"/>
    <hyperlink ref="S18" r:id="rId58" display="https://www.linkedin.com/learning/difficult-situations-solutions-for-managers" xr:uid="{00000000-0004-0000-0500-000039000000}"/>
    <hyperlink ref="E19" r:id="rId59" display="https://www.linkedin.com/learning/working-on-a-cross-functional-team/welcome" xr:uid="{00000000-0004-0000-0500-00003A000000}"/>
    <hyperlink ref="L19" r:id="rId60" display="https://www.linkedin.com/learning/organization-communication" xr:uid="{00000000-0004-0000-0500-00003B000000}"/>
    <hyperlink ref="S19" r:id="rId61" display="https://www.linkedin.com/learning/delivering-bad-news-effectively" xr:uid="{00000000-0004-0000-0500-00003C000000}"/>
    <hyperlink ref="E20" r:id="rId62" display="https://www.linkedin.com/learning/women-transforming-tech-networking" xr:uid="{00000000-0004-0000-0500-00003D000000}"/>
    <hyperlink ref="L20" r:id="rId63" display="https://www.linkedin.com/learning/persuading-others" xr:uid="{00000000-0004-0000-0500-00003E000000}"/>
    <hyperlink ref="S20" r:id="rId64" display="https://www.linkedin.com/learning/effective-listening" xr:uid="{00000000-0004-0000-0500-00003F000000}"/>
    <hyperlink ref="E21" r:id="rId65" display="https://www.linkedin.com/learning/social-success-at-work" xr:uid="{00000000-0004-0000-0500-000040000000}"/>
    <hyperlink ref="L21" r:id="rId66" display="https://www.linkedin.com/learning/women-transforming-tech-finding-sponsors" xr:uid="{00000000-0004-0000-0500-000041000000}"/>
    <hyperlink ref="S21" r:id="rId67" display="https://www.linkedin.com/learning/managing-conflict-a-practical-guide-to-resolution-in-the-workplace-getabstract-summary" xr:uid="{00000000-0004-0000-0500-000042000000}"/>
    <hyperlink ref="E22" r:id="rId68" display="https://www.linkedin.com/learning/the-surprising-power-of-seeing-people-as-people" xr:uid="{00000000-0004-0000-0500-000043000000}"/>
    <hyperlink ref="L22" r:id="rId69" display="https://www.linkedin.com/learning/women-transforming-tech-breaking-in-and-staying-in-the-industry" xr:uid="{00000000-0004-0000-0500-000044000000}"/>
    <hyperlink ref="S22" r:id="rId70" display="https://www.linkedin.com/learning/going-to-extremes-how-like-minds-unite-and-divide-getabstract-summary" xr:uid="{00000000-0004-0000-0500-000045000000}"/>
    <hyperlink ref="E23" r:id="rId71" display="https://www.linkedin.com/learning/creating-a-culture-of-learning-2020" xr:uid="{00000000-0004-0000-0500-000046000000}"/>
    <hyperlink ref="L23" r:id="rId72" display="https://www.linkedin.com/learning/women-transforming-tech-voices-from-the-field" xr:uid="{00000000-0004-0000-0500-000047000000}"/>
    <hyperlink ref="S23" r:id="rId73" display="https://www.linkedin.com/learning/taking-your-leadership-to-a-higher-level" xr:uid="{00000000-0004-0000-0500-000048000000}"/>
    <hyperlink ref="E24" r:id="rId74" display="https://www.linkedin.com/learning/teamwork-foundations-2020" xr:uid="{00000000-0004-0000-0500-000049000000}"/>
    <hyperlink ref="L24" r:id="rId75" display="https://www.linkedin.com/learning/women-transforming-tech-networking" xr:uid="{00000000-0004-0000-0500-00004A000000}"/>
    <hyperlink ref="S24" r:id="rId76" display="https://www.linkedin.com/learning/marketing-during-a-crisis" xr:uid="{00000000-0004-0000-0500-00004B000000}"/>
    <hyperlink ref="E25" r:id="rId77" display="https://www.linkedin.com/learning/inclusive-mindset-for-committed-allies" xr:uid="{00000000-0004-0000-0500-00004C000000}"/>
    <hyperlink ref="L25" r:id="rId78" display="https://www.linkedin.com/learning/own-your-voice-improve-presentations-and-executive-presence" xr:uid="{00000000-0004-0000-0500-00004D000000}"/>
    <hyperlink ref="S25" r:id="rId79" display="https://www.linkedin.com/learning/how-to-give-negative-feedback-to-senior-colleagues" xr:uid="{00000000-0004-0000-0500-00004E000000}"/>
    <hyperlink ref="E26" r:id="rId80" display="https://www.linkedin.com/learning/supporting-a-grieving-employee-a-manager-s-guide" xr:uid="{00000000-0004-0000-0500-00004F000000}"/>
    <hyperlink ref="L26" r:id="rId81" display="https://www.linkedin.com/learning/social-success-at-work" xr:uid="{00000000-0004-0000-0500-000050000000}"/>
    <hyperlink ref="S26" r:id="rId82" display="https://www.linkedin.com/learning/difficult-conversations-about-politics-at-work" xr:uid="{00000000-0004-0000-0500-000051000000}"/>
    <hyperlink ref="E27" r:id="rId83" display="https://www.linkedin.com/learning/how-to-work-with-a-micromanager" xr:uid="{00000000-0004-0000-0500-000052000000}"/>
    <hyperlink ref="L27" r:id="rId84" display="https://www.linkedin.com/learning/communicating-in-the-language-of-leadership" xr:uid="{00000000-0004-0000-0500-000053000000}"/>
    <hyperlink ref="S27" r:id="rId85" display="https://www.linkedin.com/learning/communicating-in-times-of-change/welcome" xr:uid="{00000000-0004-0000-0500-000054000000}"/>
    <hyperlink ref="E28" r:id="rId86" display="https://www.linkedin.com/learning/communicating-with-transparency" xr:uid="{00000000-0004-0000-0500-000055000000}"/>
    <hyperlink ref="L28" r:id="rId87" display="https://www.linkedin.com/learning/top-of-mind-use-content-to-unleash-your-influence-getabstract-summary" xr:uid="{00000000-0004-0000-0500-000056000000}"/>
    <hyperlink ref="S28" r:id="rId88" display="https://www.linkedin.com/learning/facilitation-skills-for-managers-and-leaders" xr:uid="{00000000-0004-0000-0500-000057000000}"/>
    <hyperlink ref="E29" r:id="rId89" display="https://www.linkedin.com/learning/being-an-effective-team-member" xr:uid="{00000000-0004-0000-0500-000058000000}"/>
    <hyperlink ref="L29" r:id="rId90" display="https://www.linkedin.com/learning/learning-webex-meetings-2020" xr:uid="{00000000-0004-0000-0500-000059000000}"/>
    <hyperlink ref="S29" r:id="rId91" display="https://www.linkedin.com/learning/human-resources-managing-employee-problems" xr:uid="{00000000-0004-0000-0500-00005A000000}"/>
    <hyperlink ref="E30" r:id="rId92" display="https://www.linkedin.com/learning/building-trust-6" xr:uid="{00000000-0004-0000-0500-00005B000000}"/>
    <hyperlink ref="L30" r:id="rId93" display="https://www.linkedin.com/learning/find-your-passion-how-padma-lakshmi-found-hers" xr:uid="{00000000-0004-0000-0500-00005C000000}"/>
    <hyperlink ref="S30" r:id="rId94" display="https://www.linkedin.com/learning/leading-through-relationships" xr:uid="{00000000-0004-0000-0500-00005D000000}"/>
    <hyperlink ref="E31" r:id="rId95" display="https://www.linkedin.com/learning/collaborative-design-managing-a-team" xr:uid="{00000000-0004-0000-0500-00005E000000}"/>
    <hyperlink ref="L31" r:id="rId96" display="https://www.linkedin.com/learning/jeffrey-gitomer-s-little-red-book-of-sales-answers-getabstract-summary" xr:uid="{00000000-0004-0000-0500-00005F000000}"/>
    <hyperlink ref="S31" r:id="rId97" display="https://www.linkedin.com/learning/managing-employee-performance-problems-3" xr:uid="{00000000-0004-0000-0500-000060000000}"/>
    <hyperlink ref="E32" r:id="rId98" display="https://www.linkedin.com/learning/giving-and-receiving-feedback" xr:uid="{00000000-0004-0000-0500-000061000000}"/>
    <hyperlink ref="L32" r:id="rId99" display="https://www.linkedin.com/learning/crucial-conversations-getabstract-summary" xr:uid="{00000000-0004-0000-0500-000062000000}"/>
    <hyperlink ref="S32" r:id="rId100" display="https://www.linkedin.com/learning/managing-in-difficult-times" xr:uid="{00000000-0004-0000-0500-000063000000}"/>
    <hyperlink ref="E33" r:id="rId101" display="https://www.linkedin.com/learning/improving-your-listening-skills" xr:uid="{00000000-0004-0000-0500-000064000000}"/>
    <hyperlink ref="L33" r:id="rId102" display="https://www.linkedin.com/learning/how-to-crush-self-doubt-and-build-self-confidence" xr:uid="{00000000-0004-0000-0500-000065000000}"/>
    <hyperlink ref="S33" r:id="rId103" display="https://www.linkedin.com/learning/managing-team-conflict" xr:uid="{00000000-0004-0000-0500-000066000000}"/>
    <hyperlink ref="E34" r:id="rId104" display="https://www.linkedin.com/learning/what-are-your-blind-spots-getabstract-summary" xr:uid="{00000000-0004-0000-0500-000067000000}"/>
    <hyperlink ref="L34" r:id="rId105" display="https://www.linkedin.com/learning/becoming-an-impactful-and-influential-leader" xr:uid="{00000000-0004-0000-0500-000068000000}"/>
    <hyperlink ref="S34" r:id="rId106" display="https://www.linkedin.com/learning/having-difficult-conversations-a-guide-for-managers" xr:uid="{00000000-0004-0000-0500-000069000000}"/>
    <hyperlink ref="E35" r:id="rId107" display="https://www.linkedin.com/learning/humble-leadership-the-power-of-relationships-openness-and-trust-getabstract-summary" xr:uid="{00000000-0004-0000-0500-00006A000000}"/>
    <hyperlink ref="L35" r:id="rId108" display="https://www.linkedin.com/learning/key-psychological-principles-for-ethical-persuasion" xr:uid="{00000000-0004-0000-0500-00006B000000}"/>
    <hyperlink ref="S35" r:id="rId109" display="https://www.linkedin.com/learning/working-with-high-conflict-people-as-a-manager" xr:uid="{00000000-0004-0000-0500-00006C000000}"/>
    <hyperlink ref="E36" r:id="rId110" display="https://www.linkedin.com/learning/the-art-of-connection-7-relationship-building-skills-every-leader-needs-now-getabstract-summary" xr:uid="{00000000-0004-0000-0500-00006D000000}"/>
    <hyperlink ref="L36" r:id="rId111" display="https://www.linkedin.com/learning/the-power-of-introverts" xr:uid="{00000000-0004-0000-0500-00006E000000}"/>
    <hyperlink ref="S36" r:id="rId112" display="https://www.linkedin.com/learning/managing-misconduct-in-the-workplace-uk" xr:uid="{00000000-0004-0000-0500-00006F000000}"/>
    <hyperlink ref="E37" r:id="rId113" display="https://www.linkedin.com/learning/why-trust-matters-with-rachel-botsman" xr:uid="{00000000-0004-0000-0500-000070000000}"/>
    <hyperlink ref="L37" r:id="rId114" display="https://www.linkedin.com/learning/the-science-of-compassion-the-upward-spiral-of-compassion" xr:uid="{00000000-0004-0000-0500-000071000000}"/>
    <hyperlink ref="S37" r:id="rId115" display="https://www.linkedin.com/learning/building-resilience-as-a-leader" xr:uid="{00000000-0004-0000-0500-000072000000}"/>
    <hyperlink ref="E38" r:id="rId116" display="https://www.linkedin.com/learning/dealing-with-grief-loss-and-change-as-an-employee" xr:uid="{00000000-0004-0000-0500-000073000000}"/>
    <hyperlink ref="L38" r:id="rId117" display="https://www.linkedin.com/learning/the-science-of-compassion-getting-started" xr:uid="{00000000-0004-0000-0500-000074000000}"/>
    <hyperlink ref="S38" r:id="rId118" display="https://www.linkedin.com/learning/time-tested-methods-for-making-complex-decisions" xr:uid="{00000000-0004-0000-0500-000075000000}"/>
    <hyperlink ref="E39" r:id="rId119" display="https://www.linkedin.com/learning/business-ethics-2019" xr:uid="{00000000-0004-0000-0500-000076000000}"/>
    <hyperlink ref="L39" r:id="rId120" display="https://www.linkedin.com/learning/inspirational-leadership-skills-practical-motivational-leadership" xr:uid="{00000000-0004-0000-0500-000077000000}"/>
    <hyperlink ref="S39" r:id="rId121" display="https://www.linkedin.com/learning/time-management-for-managers/hold-others-accountable-for-deadlines" xr:uid="{00000000-0004-0000-0500-000078000000}"/>
    <hyperlink ref="E40" r:id="rId122" display="https://www.linkedin.com/learning/unlock-your-team-s-creativity" xr:uid="{00000000-0004-0000-0500-000079000000}"/>
    <hyperlink ref="L40" r:id="rId123" display="https://www.linkedin.com/learning/supporting-a-grieving-employee-a-manager-s-guide" xr:uid="{00000000-0004-0000-0500-00007A000000}"/>
    <hyperlink ref="E41" r:id="rId124" display="https://www.linkedin.com/learning/the-language-of-inclusion-skills-for-inclusive-conversations" xr:uid="{00000000-0004-0000-0500-00007B000000}"/>
    <hyperlink ref="L41" r:id="rId125" display="https://www.linkedin.com/learning/communicating-with-transparency" xr:uid="{00000000-0004-0000-0500-00007C000000}"/>
    <hyperlink ref="E42" r:id="rId126" display="https://www.linkedin.com/learning/leveraging-your-relationship-capital" xr:uid="{00000000-0004-0000-0500-00007D000000}"/>
    <hyperlink ref="L42" r:id="rId127" display="https://www.linkedin.com/learning/presenting-technical-information-with-stories" xr:uid="{00000000-0004-0000-0500-00007E000000}"/>
    <hyperlink ref="E43" r:id="rId128" display="https://www.linkedin.com/learning/the-ultimate-guide-to-networking" xr:uid="{00000000-0004-0000-0500-00007F000000}"/>
    <hyperlink ref="L43" r:id="rId129" display="https://www.linkedin.com/learning/building-business-relationships-2" xr:uid="{00000000-0004-0000-0500-000080000000}"/>
    <hyperlink ref="E44" r:id="rId130" display="https://www.linkedin.com/learning/21-opportunities-for-better-networking" xr:uid="{00000000-0004-0000-0500-000081000000}"/>
    <hyperlink ref="L44" r:id="rId131" display="https://www.linkedin.com/learning/building-trust-6" xr:uid="{00000000-0004-0000-0500-000082000000}"/>
    <hyperlink ref="E45" r:id="rId132" display="https://www.linkedin.com/learning/building-relationships-while-working-from-home" xr:uid="{00000000-0004-0000-0500-000083000000}"/>
    <hyperlink ref="L45" r:id="rId133" display="https://www.linkedin.com/learning/improving-your-listening-skills" xr:uid="{00000000-0004-0000-0500-000084000000}"/>
    <hyperlink ref="E46" r:id="rId134" display="https://www.linkedin.com/learning/foundations-of-team-collaboration" xr:uid="{00000000-0004-0000-0500-000085000000}"/>
    <hyperlink ref="L46" r:id="rId135" display="https://www.linkedin.com/learning/selling-to-executives/next-steps" xr:uid="{00000000-0004-0000-0500-000086000000}"/>
    <hyperlink ref="E47" r:id="rId136" display="https://www.linkedin.com/learning/managing-up-virtually-as-an-employee" xr:uid="{00000000-0004-0000-0500-000087000000}"/>
    <hyperlink ref="L47" r:id="rId137" display="https://www.linkedin.com/learning/evil-by-design-1-overview,https:/www.linkedin.com/learning/evil-by-design-1-overview-revision-2021,https:/www.linkedin.com/learning/evil-by-design-persuasion-in-ux" xr:uid="{00000000-0004-0000-0500-000088000000}"/>
    <hyperlink ref="E48" r:id="rId138" display="https://www.linkedin.com/learning/how-to-develop-friendships-and-connect-meaningfully-with-work-colleagues" xr:uid="{00000000-0004-0000-0500-000089000000}"/>
    <hyperlink ref="L48" r:id="rId139" display="https://www.linkedin.com/learning/starting-a-memorable-conversation" xr:uid="{00000000-0004-0000-0500-00008A000000}"/>
    <hyperlink ref="E49" r:id="rId140" display="https://www.linkedin.com/learning/creating-a-connection-culture,https:/www.linkedin.com/learning/creating-a-culture-of-connection" xr:uid="{00000000-0004-0000-0500-00008B000000}"/>
    <hyperlink ref="L49" r:id="rId141" display="https://www.linkedin.com/learning/asserting-yourself-an-empowered-choice" xr:uid="{00000000-0004-0000-0500-00008C000000}"/>
    <hyperlink ref="E50" r:id="rId142" display="https://www.linkedin.com/learning/business-collaboration-in-the-modern-workplace/conversational-tools-email-and-chat" xr:uid="{00000000-0004-0000-0500-00008D000000}"/>
    <hyperlink ref="L50" r:id="rId143" display="https://www.linkedin.com/learning/how-to-create-and-run-a-brilliant-remote-workshop-uk" xr:uid="{00000000-0004-0000-0500-00008E000000}"/>
    <hyperlink ref="E51" r:id="rId144" display="https://www.linkedin.com/learning/communicating-with-diplomacy-and-tact" xr:uid="{00000000-0004-0000-0500-00008F000000}"/>
    <hyperlink ref="L51" r:id="rId145" display="https://www.linkedin.com/learning/zoom-leading-effective-and-engaging-calls" xr:uid="{00000000-0004-0000-0500-000090000000}"/>
    <hyperlink ref="E52" r:id="rId146" display="https://www.linkedin.com/learning/employee-experience" xr:uid="{00000000-0004-0000-0500-000091000000}"/>
    <hyperlink ref="L52" r:id="rId147" display="https://www.linkedin.com/learning/skills-for-inclusive-conversations" xr:uid="{00000000-0004-0000-0500-000092000000}"/>
    <hyperlink ref="E53" r:id="rId148" display="https://www.linkedin.com/learning/facilitation-skills-for-managers-and-leaders" xr:uid="{00000000-0004-0000-0500-000093000000}"/>
    <hyperlink ref="L53" r:id="rId149" display="https://www.linkedin.com/learning/body-language-for-leaders-2019" xr:uid="{00000000-0004-0000-0500-000094000000}"/>
    <hyperlink ref="E54" r:id="rId150" display="https://www.linkedin.com/learning/inclusive-leadership" xr:uid="{00000000-0004-0000-0500-000095000000}"/>
    <hyperlink ref="L54" r:id="rId151" display="https://www.linkedin.com/learning/complete-confidence-in-minutes-weekly" xr:uid="{00000000-0004-0000-0500-000096000000}"/>
    <hyperlink ref="E55" r:id="rId152" display="https://www.linkedin.com/learning/grit-how-teams-persevere-to-accomplish-great-goals" xr:uid="{00000000-0004-0000-0500-000097000000}"/>
    <hyperlink ref="L55" r:id="rId153" display="https://www.linkedin.com/learning/communicating-internally-during-times-of-uncertainty" xr:uid="{00000000-0004-0000-0500-000098000000}"/>
    <hyperlink ref="E56" r:id="rId154" display="https://www.linkedin.com/learning/creating-a-culture-of-collaboration" xr:uid="{00000000-0004-0000-0500-000099000000}"/>
    <hyperlink ref="L56" r:id="rId155" display="https://www.linkedin.com/learning/dealing-with-grief-loss-and-change-as-an-employee" xr:uid="{00000000-0004-0000-0500-00009A000000}"/>
    <hyperlink ref="E57" r:id="rId156" display="https://www.linkedin.com/learning/empathy-at-work" xr:uid="{00000000-0004-0000-0500-00009B000000}"/>
    <hyperlink ref="L57" r:id="rId157" display="https://www.linkedin.com/learning/preparing-to-interview-for-a-creative-role" xr:uid="{00000000-0004-0000-0500-00009C000000}"/>
    <hyperlink ref="L59" r:id="rId158" display="https://www.linkedin.com/learning/building-relationships-while-working-from-home" xr:uid="{00000000-0004-0000-0500-00009D000000}"/>
    <hyperlink ref="L60" r:id="rId159" display="https://www.linkedin.com/learning/difficult-conversations-talking-about-race-at-work" xr:uid="{00000000-0004-0000-0500-00009E000000}"/>
    <hyperlink ref="L61" r:id="rId160" display="https://www.linkedin.com/learning/speaking-up-at-work" xr:uid="{00000000-0004-0000-0500-00009F000000}"/>
    <hyperlink ref="L62" r:id="rId161" display="https://www.linkedin.com/learning/difficult-conversations-about-politics-at-work" xr:uid="{00000000-0004-0000-0500-0000A0000000}"/>
    <hyperlink ref="L63" r:id="rId162" display="https://www.linkedin.com/learning/17-pr-mistakes-to-avoid" xr:uid="{00000000-0004-0000-0500-0000A1000000}"/>
    <hyperlink ref="L64" r:id="rId163" display="https://www.linkedin.com/learning/a-step-bystep-guide-to-building-your-thought-leadership-on-linkedin-uk" xr:uid="{00000000-0004-0000-0500-0000A2000000}"/>
    <hyperlink ref="L65" r:id="rId164" display="https://www.linkedin.com/learning/listen-to-lead" xr:uid="{00000000-0004-0000-0500-0000A3000000}"/>
    <hyperlink ref="L66" r:id="rId165" display="https://www.linkedin.com/learning/having-powerful-advanced-conversations" xr:uid="{00000000-0004-0000-0500-0000A4000000}"/>
    <hyperlink ref="L67" r:id="rId166" display="https://www.linkedin.com/learning/managing-your-emotions-at-work" xr:uid="{00000000-0004-0000-0500-0000A5000000}"/>
    <hyperlink ref="L68" r:id="rId167" display="https://www.linkedin.com/learning/how-to-develop-friendships-and-connect-meaningfully-with-work-colleagues" xr:uid="{00000000-0004-0000-0500-0000A6000000}"/>
    <hyperlink ref="L69" r:id="rId168" display="https://www.linkedin.com/learning/complex-negotiation-tips" xr:uid="{00000000-0004-0000-0500-0000A7000000}"/>
    <hyperlink ref="L70" r:id="rId169" display="https://www.linkedin.com/learning/communicating-with-diplomacy-and-tact" xr:uid="{00000000-0004-0000-0500-0000A8000000}"/>
    <hyperlink ref="L71" r:id="rId170" display="https://www.linkedin.com/learning/communication-tips-weekly" xr:uid="{00000000-0004-0000-0500-0000A9000000}"/>
    <hyperlink ref="L72" r:id="rId171" display="https://www.linkedin.com/learning/facilitation-skills-for-managers-and-leaders" xr:uid="{00000000-0004-0000-0500-0000AA000000}"/>
    <hyperlink ref="L73" r:id="rId172" display="https://www.linkedin.com/learning/preparing-for-successful-communication" xr:uid="{00000000-0004-0000-0500-0000AB000000}"/>
    <hyperlink ref="L74" r:id="rId173" display="https://www.linkedin.com/learning/navigating-politics-as-a-senior-leader" xr:uid="{00000000-0004-0000-0500-0000AC000000}"/>
    <hyperlink ref="L75" r:id="rId174" display="https://www.linkedin.com/learning/leading-with-kindness-and-strength" xr:uid="{00000000-0004-0000-0500-0000AD000000}"/>
    <hyperlink ref="L76" r:id="rId175" display="https://www.linkedin.com/learning/leading-from-the-middle" xr:uid="{00000000-0004-0000-0500-0000AE000000}"/>
    <hyperlink ref="L77" r:id="rId176" display="https://www.linkedin.com/learning/the-surprising-science-of-meetings-getabstract-summary" xr:uid="{00000000-0004-0000-0500-0000AF000000}"/>
    <hyperlink ref="L78" r:id="rId177" display="https://www.linkedin.com/learning/successful-networking" xr:uid="{00000000-0004-0000-0500-0000B0000000}"/>
    <hyperlink ref="L79" r:id="rId178" display="https://www.linkedin.com/learning/building-your-visibility-as-a-leader" xr:uid="{00000000-0004-0000-0500-0000B1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xr:uid="{00000000-0002-0000-0500-000000000000}">
          <x14:formula1>
            <xm:f>'All Competencies'!$A$3:$A80</xm:f>
          </x14:formula1>
          <xm:sqref>A1:C1 G1:J1 N1:Q1 U1:V1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3C78D8"/>
    <outlinePr summaryBelow="0" summaryRight="0"/>
  </sheetPr>
  <dimension ref="A1:V626"/>
  <sheetViews>
    <sheetView showGridLines="0" workbookViewId="0">
      <pane ySplit="4" topLeftCell="A5" activePane="bottomLeft" state="frozen"/>
      <selection pane="bottomLeft" activeCell="F20" sqref="F20"/>
    </sheetView>
  </sheetViews>
  <sheetFormatPr baseColWidth="10" defaultColWidth="14.5" defaultRowHeight="15.75" customHeight="1" outlineLevelRow="1" x14ac:dyDescent="0.15"/>
  <cols>
    <col min="1" max="2" width="0.6640625" customWidth="1"/>
    <col min="3" max="3" width="13.5" customWidth="1"/>
    <col min="4" max="4" width="18" customWidth="1"/>
    <col min="5" max="5" width="36.83203125" customWidth="1"/>
    <col min="6" max="6" width="37.5" customWidth="1"/>
    <col min="7" max="9" width="0.6640625" customWidth="1"/>
    <col min="10" max="10" width="13.5" customWidth="1"/>
    <col min="11" max="11" width="18" customWidth="1"/>
    <col min="12" max="12" width="36.83203125" customWidth="1"/>
    <col min="13" max="13" width="37.5" customWidth="1"/>
    <col min="14" max="16" width="0.6640625" customWidth="1"/>
    <col min="17" max="17" width="13.5" customWidth="1"/>
    <col min="18" max="18" width="18" customWidth="1"/>
    <col min="19" max="19" width="36.83203125" customWidth="1"/>
    <col min="20" max="20" width="37.5" customWidth="1"/>
    <col min="21" max="22" width="0.6640625" customWidth="1"/>
  </cols>
  <sheetData>
    <row r="1" spans="1:22" ht="27.75" customHeight="1" outlineLevel="1" x14ac:dyDescent="0.15">
      <c r="A1" s="127"/>
      <c r="B1" s="127"/>
      <c r="C1" s="188" t="s">
        <v>329</v>
      </c>
      <c r="D1" s="160"/>
      <c r="E1" s="160"/>
      <c r="F1" s="160"/>
      <c r="G1" s="127"/>
      <c r="H1" s="127"/>
      <c r="I1" s="127"/>
      <c r="J1" s="188" t="s">
        <v>445</v>
      </c>
      <c r="K1" s="160"/>
      <c r="L1" s="160"/>
      <c r="M1" s="160"/>
      <c r="N1" s="127"/>
      <c r="O1" s="127"/>
      <c r="P1" s="127"/>
      <c r="Q1" s="188" t="s">
        <v>486</v>
      </c>
      <c r="R1" s="160"/>
      <c r="S1" s="160"/>
      <c r="T1" s="160"/>
      <c r="U1" s="127"/>
      <c r="V1" s="127"/>
    </row>
    <row r="2" spans="1:22" ht="17" outlineLevel="1" x14ac:dyDescent="0.15">
      <c r="A2" s="128"/>
      <c r="B2" s="128"/>
      <c r="C2" s="186" t="s">
        <v>1407</v>
      </c>
      <c r="D2" s="160"/>
      <c r="E2" s="160"/>
      <c r="F2" s="160"/>
      <c r="G2" s="128"/>
      <c r="H2" s="128"/>
      <c r="I2" s="128"/>
      <c r="J2" s="186" t="s">
        <v>1407</v>
      </c>
      <c r="K2" s="160"/>
      <c r="L2" s="160"/>
      <c r="M2" s="160"/>
      <c r="N2" s="128"/>
      <c r="O2" s="128"/>
      <c r="P2" s="128"/>
      <c r="Q2" s="186" t="s">
        <v>1407</v>
      </c>
      <c r="R2" s="160"/>
      <c r="S2" s="160"/>
      <c r="T2" s="160"/>
      <c r="U2" s="128"/>
      <c r="V2" s="128"/>
    </row>
    <row r="3" spans="1:22" ht="50" customHeight="1" outlineLevel="1" x14ac:dyDescent="0.15">
      <c r="A3" s="129"/>
      <c r="B3" s="129"/>
      <c r="C3" s="187" t="str">
        <f ca="1">IFERROR(__xludf.DUMMYFUNCTION("IFERROR(UNIQUE(FILTER('Competency Learning Paths'!N:N,'Competency Learning Paths'!A:A= C1)))"),"Marketing, Market Research, Content Marketing, Digital Marketing, Market Analysis, SEO, Social Media Marketing, Marketing Strategies")</f>
        <v>Marketing, Market Research, Content Marketing, Digital Marketing, Market Analysis, SEO, Social Media Marketing, Marketing Strategies</v>
      </c>
      <c r="D3" s="160"/>
      <c r="E3" s="160"/>
      <c r="F3" s="160"/>
      <c r="G3" s="129"/>
      <c r="H3" s="129"/>
      <c r="I3" s="129"/>
      <c r="J3" s="187" t="str">
        <f ca="1">IFERROR(__xludf.DUMMYFUNCTION("IFERROR(UNIQUE(FILTER('Competency Learning Paths'!N:N,'Competency Learning Paths'!A:A= J1)))"),"Innovation, Creativity, Ingenuity, Cultivates Innovation")</f>
        <v>Innovation, Creativity, Ingenuity, Cultivates Innovation</v>
      </c>
      <c r="K3" s="160"/>
      <c r="L3" s="160"/>
      <c r="M3" s="160"/>
      <c r="N3" s="129"/>
      <c r="O3" s="129"/>
      <c r="P3" s="129"/>
      <c r="Q3" s="187" t="str">
        <f ca="1">IFERROR(__xludf.DUMMYFUNCTION("IFERROR(UNIQUE(FILTER('Competency Learning Paths'!N:N,'Competency Learning Paths'!A:A= Q1)))"),"Decision Quality, Judgement, Timely Decision-Making, Decision-Making, Problem/Opportunity Analysis, Operational Decision Making, Problem Solving, Analytical Thinking, Logical Reasoning, Intellectual Horsepower")</f>
        <v>Decision Quality, Judgement, Timely Decision-Making, Decision-Making, Problem/Opportunity Analysis, Operational Decision Making, Problem Solving, Analytical Thinking, Logical Reasoning, Intellectual Horsepower</v>
      </c>
      <c r="R3" s="160"/>
      <c r="S3" s="160"/>
      <c r="T3" s="160"/>
      <c r="U3" s="129"/>
      <c r="V3" s="129"/>
    </row>
    <row r="4" spans="1:22" ht="16" outlineLevel="1" x14ac:dyDescent="0.15">
      <c r="A4" s="130"/>
      <c r="B4" s="131"/>
      <c r="C4" s="132" t="str">
        <f ca="1">IFERROR(__xludf.DUMMYFUNCTION("FILTER('All Competencies'!B:B,'All Competencies'!A:A=C1)"),"Course IDs")</f>
        <v>Course IDs</v>
      </c>
      <c r="D4" s="132" t="str">
        <f ca="1">IFERROR(__xludf.DUMMYFUNCTION("FILTER('All Competencies'!C:C,'All Competencies'!A:A=C1)"),"Level")</f>
        <v>Level</v>
      </c>
      <c r="E4" s="132" t="str">
        <f ca="1">IFERROR(__xludf.DUMMYFUNCTION("FILTER('All Competencies'!D:D,'All Competencies'!A:A=C1)"),"Courses")</f>
        <v>Courses</v>
      </c>
      <c r="F4" s="132" t="str">
        <f ca="1">IFERROR(__xludf.DUMMYFUNCTION("FILTER('All Competencies'!E:E,'All Competencies'!A:A=C1)"),"Learning Paths")</f>
        <v>Learning Paths</v>
      </c>
      <c r="G4" s="133"/>
      <c r="H4" s="131"/>
      <c r="I4" s="130"/>
      <c r="J4" s="132" t="str">
        <f ca="1">IFERROR(__xludf.DUMMYFUNCTION("FILTER('All Competencies'!B:B,'All Competencies'!A:A=J1)"),"Course IDs")</f>
        <v>Course IDs</v>
      </c>
      <c r="K4" s="132" t="str">
        <f ca="1">IFERROR(__xludf.DUMMYFUNCTION("FILTER('All Competencies'!C:C,'All Competencies'!A:A=J1)"),"Level")</f>
        <v>Level</v>
      </c>
      <c r="L4" s="132" t="str">
        <f ca="1">IFERROR(__xludf.DUMMYFUNCTION("FILTER('All Competencies'!D:D,'All Competencies'!A:A=J1)"),"Courses")</f>
        <v>Courses</v>
      </c>
      <c r="M4" s="132" t="str">
        <f ca="1">IFERROR(__xludf.DUMMYFUNCTION("FILTER('All Competencies'!E:E,'All Competencies'!A:A=J1)"),"Learning Paths")</f>
        <v>Learning Paths</v>
      </c>
      <c r="N4" s="133"/>
      <c r="O4" s="131"/>
      <c r="P4" s="130"/>
      <c r="Q4" s="132" t="str">
        <f ca="1">IFERROR(__xludf.DUMMYFUNCTION("FILTER('All Competencies'!B:B,'All Competencies'!A:A=Q1)"),"Course IDs")</f>
        <v>Course IDs</v>
      </c>
      <c r="R4" s="132" t="str">
        <f ca="1">IFERROR(__xludf.DUMMYFUNCTION("FILTER('All Competencies'!C:C,'All Competencies'!A:A=Q1)"),"Level")</f>
        <v>Level</v>
      </c>
      <c r="S4" s="132" t="str">
        <f ca="1">IFERROR(__xludf.DUMMYFUNCTION("FILTER('All Competencies'!D:D,'All Competencies'!A:A=Q1)"),"Courses")</f>
        <v>Courses</v>
      </c>
      <c r="T4" s="132" t="str">
        <f ca="1">IFERROR(__xludf.DUMMYFUNCTION("FILTER('All Competencies'!E:E,'All Competencies'!A:A=Q1)"),"Learning Paths")</f>
        <v>Learning Paths</v>
      </c>
      <c r="U4" s="133"/>
      <c r="V4" s="130"/>
    </row>
    <row r="5" spans="1:22" ht="33.75" customHeight="1" x14ac:dyDescent="0.15">
      <c r="A5" s="134"/>
      <c r="B5" s="134"/>
      <c r="C5" s="135">
        <f ca="1">IFERROR(__xludf.DUMMYFUNCTION("""COMPUTED_VALUE"""),624312)</f>
        <v>624312</v>
      </c>
      <c r="D5" s="135" t="str">
        <f ca="1">IFERROR(__xludf.DUMMYFUNCTION("""COMPUTED_VALUE"""),"Advanced")</f>
        <v>Advanced</v>
      </c>
      <c r="E5" s="136" t="str">
        <f ca="1">IFERROR(__xludf.DUMMYFUNCTION("""COMPUTED_VALUE"""),"Building an Integrated Online Marketing Plan")</f>
        <v>Building an Integrated Online Marketing Plan</v>
      </c>
      <c r="F5" s="137" t="str">
        <f ca="1">IFERROR(__xludf.DUMMYFUNCTION("""COMPUTED_VALUE"""),"Become a Content Strategist")</f>
        <v>Become a Content Strategist</v>
      </c>
      <c r="G5" s="134"/>
      <c r="H5" s="134"/>
      <c r="I5" s="134"/>
      <c r="J5" s="135">
        <f ca="1">IFERROR(__xludf.DUMMYFUNCTION("""COMPUTED_VALUE"""),2810399)</f>
        <v>2810399</v>
      </c>
      <c r="K5" s="135" t="str">
        <f ca="1">IFERROR(__xludf.DUMMYFUNCTION("""COMPUTED_VALUE"""),"Advanced")</f>
        <v>Advanced</v>
      </c>
      <c r="L5" s="136" t="str">
        <f ca="1">IFERROR(__xludf.DUMMYFUNCTION("""COMPUTED_VALUE"""),"Building Creative Organizations")</f>
        <v>Building Creative Organizations</v>
      </c>
      <c r="M5" s="137" t="str">
        <f ca="1">IFERROR(__xludf.DUMMYFUNCTION("""COMPUTED_VALUE"""),"Fostering Innovation")</f>
        <v>Fostering Innovation</v>
      </c>
      <c r="N5" s="134"/>
      <c r="O5" s="134"/>
      <c r="P5" s="134"/>
      <c r="Q5" s="135">
        <f ca="1">IFERROR(__xludf.DUMMYFUNCTION("""COMPUTED_VALUE"""),2813143)</f>
        <v>2813143</v>
      </c>
      <c r="R5" s="135" t="str">
        <f ca="1">IFERROR(__xludf.DUMMYFUNCTION("""COMPUTED_VALUE"""),"Advanced")</f>
        <v>Advanced</v>
      </c>
      <c r="S5" s="136" t="str">
        <f ca="1">IFERROR(__xludf.DUMMYFUNCTION("""COMPUTED_VALUE"""),"Critical Thinking for Better Judgment and Decision-Making")</f>
        <v>Critical Thinking for Better Judgment and Decision-Making</v>
      </c>
      <c r="T5" s="137" t="str">
        <f ca="1">IFERROR(__xludf.DUMMYFUNCTION("""COMPUTED_VALUE"""),"Improve Your Problem-Solving Skills")</f>
        <v>Improve Your Problem-Solving Skills</v>
      </c>
      <c r="U5" s="134"/>
      <c r="V5" s="134"/>
    </row>
    <row r="6" spans="1:22" ht="33.75" customHeight="1" x14ac:dyDescent="0.15">
      <c r="A6" s="134"/>
      <c r="B6" s="134"/>
      <c r="C6" s="138">
        <f ca="1">IFERROR(__xludf.DUMMYFUNCTION("""COMPUTED_VALUE"""),2801190)</f>
        <v>2801190</v>
      </c>
      <c r="D6" s="138" t="str">
        <f ca="1">IFERROR(__xludf.DUMMYFUNCTION("""COMPUTED_VALUE"""),"Advanced")</f>
        <v>Advanced</v>
      </c>
      <c r="E6" s="139" t="str">
        <f ca="1">IFERROR(__xludf.DUMMYFUNCTION("""COMPUTED_VALUE"""),"Pricing Strategy: Value-Based Pricing")</f>
        <v>Pricing Strategy: Value-Based Pricing</v>
      </c>
      <c r="F6" s="140" t="str">
        <f ca="1">IFERROR(__xludf.DUMMYFUNCTION("""COMPUTED_VALUE"""),"Become a Digital Advertising Specialist")</f>
        <v>Become a Digital Advertising Specialist</v>
      </c>
      <c r="G6" s="134"/>
      <c r="H6" s="134"/>
      <c r="I6" s="134"/>
      <c r="J6" s="138">
        <f ca="1">IFERROR(__xludf.DUMMYFUNCTION("""COMPUTED_VALUE"""),153123)</f>
        <v>153123</v>
      </c>
      <c r="K6" s="138" t="str">
        <f ca="1">IFERROR(__xludf.DUMMYFUNCTION("""COMPUTED_VALUE"""),"Beginner")</f>
        <v>Beginner</v>
      </c>
      <c r="L6" s="139" t="str">
        <f ca="1">IFERROR(__xludf.DUMMYFUNCTION("""COMPUTED_VALUE"""),"Business Innovation Foundations")</f>
        <v>Business Innovation Foundations</v>
      </c>
      <c r="M6" s="140" t="str">
        <f ca="1">IFERROR(__xludf.DUMMYFUNCTION("""COMPUTED_VALUE"""),"Improve Your Creativity Skills")</f>
        <v>Improve Your Creativity Skills</v>
      </c>
      <c r="N6" s="134"/>
      <c r="O6" s="134"/>
      <c r="P6" s="134"/>
      <c r="Q6" s="138">
        <f ca="1">IFERROR(__xludf.DUMMYFUNCTION("""COMPUTED_VALUE"""),2851002)</f>
        <v>2851002</v>
      </c>
      <c r="R6" s="138" t="str">
        <f ca="1">IFERROR(__xludf.DUMMYFUNCTION("""COMPUTED_VALUE"""),"Advanced")</f>
        <v>Advanced</v>
      </c>
      <c r="S6" s="139" t="str">
        <f ca="1">IFERROR(__xludf.DUMMYFUNCTION("""COMPUTED_VALUE"""),"Privacy in the New World of Work")</f>
        <v>Privacy in the New World of Work</v>
      </c>
      <c r="T6" s="140" t="str">
        <f ca="1">IFERROR(__xludf.DUMMYFUNCTION("""COMPUTED_VALUE"""),"Master In-Demand Professional Soft Skills")</f>
        <v>Master In-Demand Professional Soft Skills</v>
      </c>
      <c r="U6" s="134"/>
      <c r="V6" s="134"/>
    </row>
    <row r="7" spans="1:22" ht="33.75" customHeight="1" x14ac:dyDescent="0.15">
      <c r="A7" s="134"/>
      <c r="B7" s="134"/>
      <c r="C7" s="138">
        <f ca="1">IFERROR(__xludf.DUMMYFUNCTION("""COMPUTED_VALUE"""),2807866)</f>
        <v>2807866</v>
      </c>
      <c r="D7" s="138" t="str">
        <f ca="1">IFERROR(__xludf.DUMMYFUNCTION("""COMPUTED_VALUE"""),"Advanced")</f>
        <v>Advanced</v>
      </c>
      <c r="E7" s="139" t="str">
        <f ca="1">IFERROR(__xludf.DUMMYFUNCTION("""COMPUTED_VALUE"""),"Advanced SEO: Search Factors")</f>
        <v>Advanced SEO: Search Factors</v>
      </c>
      <c r="F7" s="140" t="str">
        <f ca="1">IFERROR(__xludf.DUMMYFUNCTION("""COMPUTED_VALUE"""),"Become a Digital Marketer")</f>
        <v>Become a Digital Marketer</v>
      </c>
      <c r="G7" s="134"/>
      <c r="H7" s="134"/>
      <c r="I7" s="134"/>
      <c r="J7" s="138">
        <f ca="1">IFERROR(__xludf.DUMMYFUNCTION("""COMPUTED_VALUE"""),548712)</f>
        <v>548712</v>
      </c>
      <c r="K7" s="138" t="str">
        <f ca="1">IFERROR(__xludf.DUMMYFUNCTION("""COMPUTED_VALUE"""),"Beginner")</f>
        <v>Beginner</v>
      </c>
      <c r="L7" s="139" t="str">
        <f ca="1">IFERROR(__xludf.DUMMYFUNCTION("""COMPUTED_VALUE"""),"Creative Thinking")</f>
        <v>Creative Thinking</v>
      </c>
      <c r="M7" s="140" t="str">
        <f ca="1">IFERROR(__xludf.DUMMYFUNCTION("""COMPUTED_VALUE"""),"Improve Your Problem Solving Skills")</f>
        <v>Improve Your Problem Solving Skills</v>
      </c>
      <c r="N7" s="134"/>
      <c r="O7" s="134"/>
      <c r="P7" s="134"/>
      <c r="Q7" s="138">
        <f ca="1">IFERROR(__xludf.DUMMYFUNCTION("""COMPUTED_VALUE"""),2837270)</f>
        <v>2837270</v>
      </c>
      <c r="R7" s="138" t="str">
        <f ca="1">IFERROR(__xludf.DUMMYFUNCTION("""COMPUTED_VALUE"""),"General")</f>
        <v>General</v>
      </c>
      <c r="S7" s="139" t="str">
        <f ca="1">IFERROR(__xludf.DUMMYFUNCTION("""COMPUTED_VALUE"""),"The Undercover Economist: The Economics behind Everyday Decisions (Blinkist Summary)")</f>
        <v>The Undercover Economist: The Economics behind Everyday Decisions (Blinkist Summary)</v>
      </c>
      <c r="T7" s="140" t="str">
        <f ca="1">IFERROR(__xludf.DUMMYFUNCTION("""COMPUTED_VALUE"""),"Improve Your Organizational Skills")</f>
        <v>Improve Your Organizational Skills</v>
      </c>
      <c r="U7" s="134"/>
      <c r="V7" s="134"/>
    </row>
    <row r="8" spans="1:22" ht="33.75" customHeight="1" x14ac:dyDescent="0.15">
      <c r="A8" s="134"/>
      <c r="B8" s="134"/>
      <c r="C8" s="138">
        <f ca="1">IFERROR(__xludf.DUMMYFUNCTION("""COMPUTED_VALUE"""),5038215)</f>
        <v>5038215</v>
      </c>
      <c r="D8" s="138" t="str">
        <f ca="1">IFERROR(__xludf.DUMMYFUNCTION("""COMPUTED_VALUE"""),"Advanced")</f>
        <v>Advanced</v>
      </c>
      <c r="E8" s="139" t="str">
        <f ca="1">IFERROR(__xludf.DUMMYFUNCTION("""COMPUTED_VALUE"""),"Advanced Product Marketing")</f>
        <v>Advanced Product Marketing</v>
      </c>
      <c r="F8" s="140" t="str">
        <f ca="1">IFERROR(__xludf.DUMMYFUNCTION("""COMPUTED_VALUE"""),"Become a Digital Marketing Specialist")</f>
        <v>Become a Digital Marketing Specialist</v>
      </c>
      <c r="G8" s="134"/>
      <c r="H8" s="134"/>
      <c r="I8" s="134"/>
      <c r="J8" s="138">
        <f ca="1">IFERROR(__xludf.DUMMYFUNCTION("""COMPUTED_VALUE"""),197935)</f>
        <v>197935</v>
      </c>
      <c r="K8" s="138" t="str">
        <f ca="1">IFERROR(__xludf.DUMMYFUNCTION("""COMPUTED_VALUE"""),"Beginner")</f>
        <v>Beginner</v>
      </c>
      <c r="L8" s="139" t="str">
        <f ca="1">IFERROR(__xludf.DUMMYFUNCTION("""COMPUTED_VALUE"""),"Creativity Bootcamp")</f>
        <v>Creativity Bootcamp</v>
      </c>
      <c r="M8" s="140" t="str">
        <f ca="1">IFERROR(__xludf.DUMMYFUNCTION("""COMPUTED_VALUE"""),"Stay Competitive Using Design Thinking")</f>
        <v>Stay Competitive Using Design Thinking</v>
      </c>
      <c r="N8" s="134"/>
      <c r="O8" s="134"/>
      <c r="P8" s="134"/>
      <c r="Q8" s="138">
        <f ca="1">IFERROR(__xludf.DUMMYFUNCTION("""COMPUTED_VALUE"""),170777)</f>
        <v>170777</v>
      </c>
      <c r="R8" s="138" t="str">
        <f ca="1">IFERROR(__xludf.DUMMYFUNCTION("""COMPUTED_VALUE"""),"Beginner")</f>
        <v>Beginner</v>
      </c>
      <c r="S8" s="139" t="str">
        <f ca="1">IFERROR(__xludf.DUMMYFUNCTION("""COMPUTED_VALUE"""),"Building Resilience")</f>
        <v>Building Resilience</v>
      </c>
      <c r="T8" s="140" t="str">
        <f ca="1">IFERROR(__xludf.DUMMYFUNCTION("""COMPUTED_VALUE"""),"Develop Critical-Thinking, Decision-Making, and Problem-Solving Skills ")</f>
        <v xml:space="preserve">Develop Critical-Thinking, Decision-Making, and Problem-Solving Skills </v>
      </c>
      <c r="U8" s="134"/>
      <c r="V8" s="134"/>
    </row>
    <row r="9" spans="1:22" ht="33.75" customHeight="1" x14ac:dyDescent="0.15">
      <c r="A9" s="134"/>
      <c r="B9" s="134"/>
      <c r="C9" s="138">
        <f ca="1">IFERROR(__xludf.DUMMYFUNCTION("""COMPUTED_VALUE"""),2814043)</f>
        <v>2814043</v>
      </c>
      <c r="D9" s="138" t="str">
        <f ca="1">IFERROR(__xludf.DUMMYFUNCTION("""COMPUTED_VALUE"""),"Advanced")</f>
        <v>Advanced</v>
      </c>
      <c r="E9" s="139" t="str">
        <f ca="1">IFERROR(__xludf.DUMMYFUNCTION("""COMPUTED_VALUE"""),"Lead Generation: Social Media")</f>
        <v>Lead Generation: Social Media</v>
      </c>
      <c r="F9" s="140" t="str">
        <f ca="1">IFERROR(__xludf.DUMMYFUNCTION("""COMPUTED_VALUE"""),"Become a Marketing Coordinator")</f>
        <v>Become a Marketing Coordinator</v>
      </c>
      <c r="G9" s="134"/>
      <c r="H9" s="134"/>
      <c r="I9" s="134"/>
      <c r="J9" s="138">
        <f ca="1">IFERROR(__xludf.DUMMYFUNCTION("""COMPUTED_VALUE"""),774900)</f>
        <v>774900</v>
      </c>
      <c r="K9" s="138" t="str">
        <f ca="1">IFERROR(__xludf.DUMMYFUNCTION("""COMPUTED_VALUE"""),"Beginner")</f>
        <v>Beginner</v>
      </c>
      <c r="L9" s="139" t="str">
        <f ca="1">IFERROR(__xludf.DUMMYFUNCTION("""COMPUTED_VALUE"""),"Creativity for All Weekly")</f>
        <v>Creativity for All Weekly</v>
      </c>
      <c r="M9" s="140" t="str">
        <f ca="1">IFERROR(__xludf.DUMMYFUNCTION("""COMPUTED_VALUE"""),"Working with Creatives")</f>
        <v>Working with Creatives</v>
      </c>
      <c r="N9" s="134"/>
      <c r="O9" s="134"/>
      <c r="P9" s="134"/>
      <c r="Q9" s="138">
        <f ca="1">IFERROR(__xludf.DUMMYFUNCTION("""COMPUTED_VALUE"""),424116)</f>
        <v>424116</v>
      </c>
      <c r="R9" s="138" t="str">
        <f ca="1">IFERROR(__xludf.DUMMYFUNCTION("""COMPUTED_VALUE"""),"Beginner")</f>
        <v>Beginner</v>
      </c>
      <c r="S9" s="139" t="str">
        <f ca="1">IFERROR(__xludf.DUMMYFUNCTION("""COMPUTED_VALUE"""),"Critical Thinking")</f>
        <v>Critical Thinking</v>
      </c>
      <c r="T9" s="141"/>
      <c r="U9" s="134"/>
      <c r="V9" s="134"/>
    </row>
    <row r="10" spans="1:22" ht="33.75" customHeight="1" x14ac:dyDescent="0.15">
      <c r="A10" s="134"/>
      <c r="B10" s="134"/>
      <c r="C10" s="138">
        <f ca="1">IFERROR(__xludf.DUMMYFUNCTION("""COMPUTED_VALUE"""),2817028)</f>
        <v>2817028</v>
      </c>
      <c r="D10" s="138" t="str">
        <f ca="1">IFERROR(__xludf.DUMMYFUNCTION("""COMPUTED_VALUE"""),"Advanced")</f>
        <v>Advanced</v>
      </c>
      <c r="E10" s="139" t="str">
        <f ca="1">IFERROR(__xludf.DUMMYFUNCTION("""COMPUTED_VALUE"""),"Advanced Google Analytics")</f>
        <v>Advanced Google Analytics</v>
      </c>
      <c r="F10" s="150" t="str">
        <f ca="1">IFERROR(__xludf.DUMMYFUNCTION("""COMPUTED_VALUE"""),"Become a Marketing Manager")</f>
        <v>Become a Marketing Manager</v>
      </c>
      <c r="G10" s="134"/>
      <c r="H10" s="134"/>
      <c r="I10" s="134"/>
      <c r="J10" s="138">
        <f ca="1">IFERROR(__xludf.DUMMYFUNCTION("""COMPUTED_VALUE"""),495346)</f>
        <v>495346</v>
      </c>
      <c r="K10" s="138" t="str">
        <f ca="1">IFERROR(__xludf.DUMMYFUNCTION("""COMPUTED_VALUE"""),"Beginner")</f>
        <v>Beginner</v>
      </c>
      <c r="L10" s="139" t="str">
        <f ca="1">IFERROR(__xludf.DUMMYFUNCTION("""COMPUTED_VALUE"""),"Gary Hamel on Busting Bureaucracy")</f>
        <v>Gary Hamel on Busting Bureaucracy</v>
      </c>
      <c r="M10" s="150" t="str">
        <f ca="1">IFERROR(__xludf.DUMMYFUNCTION("""COMPUTED_VALUE"""),"Stay Competitive Using Design Thinking")</f>
        <v>Stay Competitive Using Design Thinking</v>
      </c>
      <c r="N10" s="134"/>
      <c r="O10" s="134"/>
      <c r="P10" s="134"/>
      <c r="Q10" s="138">
        <f ca="1">IFERROR(__xludf.DUMMYFUNCTION("""COMPUTED_VALUE"""),718628)</f>
        <v>718628</v>
      </c>
      <c r="R10" s="138" t="str">
        <f ca="1">IFERROR(__xludf.DUMMYFUNCTION("""COMPUTED_VALUE"""),"Beginner")</f>
        <v>Beginner</v>
      </c>
      <c r="S10" s="139" t="str">
        <f ca="1">IFERROR(__xludf.DUMMYFUNCTION("""COMPUTED_VALUE"""),"Cultivating a Growth Mindset")</f>
        <v>Cultivating a Growth Mindset</v>
      </c>
      <c r="T10" s="142"/>
      <c r="U10" s="134"/>
      <c r="V10" s="134"/>
    </row>
    <row r="11" spans="1:22" ht="33.75" customHeight="1" x14ac:dyDescent="0.15">
      <c r="A11" s="134"/>
      <c r="B11" s="134"/>
      <c r="C11" s="138">
        <f ca="1">IFERROR(__xludf.DUMMYFUNCTION("""COMPUTED_VALUE"""),2823074)</f>
        <v>2823074</v>
      </c>
      <c r="D11" s="138" t="str">
        <f ca="1">IFERROR(__xludf.DUMMYFUNCTION("""COMPUTED_VALUE"""),"Advanced")</f>
        <v>Advanced</v>
      </c>
      <c r="E11" s="139" t="str">
        <f ca="1">IFERROR(__xludf.DUMMYFUNCTION("""COMPUTED_VALUE"""),"Advertising on Facebook: Advanced")</f>
        <v>Advertising on Facebook: Advanced</v>
      </c>
      <c r="F11" s="140" t="str">
        <f ca="1">IFERROR(__xludf.DUMMYFUNCTION("""COMPUTED_VALUE"""),"Become a Marketing Specialist")</f>
        <v>Become a Marketing Specialist</v>
      </c>
      <c r="G11" s="134"/>
      <c r="H11" s="134"/>
      <c r="I11" s="134"/>
      <c r="J11" s="138">
        <f ca="1">IFERROR(__xludf.DUMMYFUNCTION("""COMPUTED_VALUE"""),608995)</f>
        <v>608995</v>
      </c>
      <c r="K11" s="138" t="str">
        <f ca="1">IFERROR(__xludf.DUMMYFUNCTION("""COMPUTED_VALUE"""),"Beginner")</f>
        <v>Beginner</v>
      </c>
      <c r="L11" s="139" t="str">
        <f ca="1">IFERROR(__xludf.DUMMYFUNCTION("""COMPUTED_VALUE"""),"Jeff Dyer on Innovation")</f>
        <v>Jeff Dyer on Innovation</v>
      </c>
      <c r="M11" s="140" t="str">
        <f ca="1">IFERROR(__xludf.DUMMYFUNCTION("""COMPUTED_VALUE"""),"Develop Your Creative Thinking and Innovation Skills")</f>
        <v>Develop Your Creative Thinking and Innovation Skills</v>
      </c>
      <c r="N11" s="134"/>
      <c r="O11" s="134"/>
      <c r="P11" s="134"/>
      <c r="Q11" s="138">
        <f ca="1">IFERROR(__xludf.DUMMYFUNCTION("""COMPUTED_VALUE"""),186697)</f>
        <v>186697</v>
      </c>
      <c r="R11" s="138" t="str">
        <f ca="1">IFERROR(__xludf.DUMMYFUNCTION("""COMPUTED_VALUE"""),"Beginner")</f>
        <v>Beginner</v>
      </c>
      <c r="S11" s="139" t="str">
        <f ca="1">IFERROR(__xludf.DUMMYFUNCTION("""COMPUTED_VALUE"""),"Decision-Making Strategies")</f>
        <v>Decision-Making Strategies</v>
      </c>
      <c r="T11" s="141"/>
      <c r="U11" s="134"/>
      <c r="V11" s="134"/>
    </row>
    <row r="12" spans="1:22" ht="33.75" customHeight="1" x14ac:dyDescent="0.15">
      <c r="A12" s="134"/>
      <c r="B12" s="134"/>
      <c r="C12" s="138">
        <f ca="1">IFERROR(__xludf.DUMMYFUNCTION("""COMPUTED_VALUE"""),2823517)</f>
        <v>2823517</v>
      </c>
      <c r="D12" s="138" t="str">
        <f ca="1">IFERROR(__xludf.DUMMYFUNCTION("""COMPUTED_VALUE"""),"Advanced")</f>
        <v>Advanced</v>
      </c>
      <c r="E12" s="139" t="str">
        <f ca="1">IFERROR(__xludf.DUMMYFUNCTION("""COMPUTED_VALUE"""),"Advanced Content Marketing")</f>
        <v>Advanced Content Marketing</v>
      </c>
      <c r="F12" s="140" t="str">
        <f ca="1">IFERROR(__xludf.DUMMYFUNCTION("""COMPUTED_VALUE"""),"Become a Public Relations Specialist")</f>
        <v>Become a Public Relations Specialist</v>
      </c>
      <c r="G12" s="134"/>
      <c r="H12" s="134"/>
      <c r="I12" s="134"/>
      <c r="J12" s="138">
        <f ca="1">IFERROR(__xludf.DUMMYFUNCTION("""COMPUTED_VALUE"""),178137)</f>
        <v>178137</v>
      </c>
      <c r="K12" s="138" t="str">
        <f ca="1">IFERROR(__xludf.DUMMYFUNCTION("""COMPUTED_VALUE"""),"Beginner")</f>
        <v>Beginner</v>
      </c>
      <c r="L12" s="139" t="str">
        <f ca="1">IFERROR(__xludf.DUMMYFUNCTION("""COMPUTED_VALUE"""),"Learning Brainstorming")</f>
        <v>Learning Brainstorming</v>
      </c>
      <c r="M12" s="141"/>
      <c r="N12" s="134"/>
      <c r="O12" s="134"/>
      <c r="P12" s="134"/>
      <c r="Q12" s="138">
        <f ca="1">IFERROR(__xludf.DUMMYFUNCTION("""COMPUTED_VALUE"""),777381)</f>
        <v>777381</v>
      </c>
      <c r="R12" s="138" t="str">
        <f ca="1">IFERROR(__xludf.DUMMYFUNCTION("""COMPUTED_VALUE"""),"Beginner")</f>
        <v>Beginner</v>
      </c>
      <c r="S12" s="139" t="str">
        <f ca="1">IFERROR(__xludf.DUMMYFUNCTION("""COMPUTED_VALUE"""),"Delivering Results Effectively")</f>
        <v>Delivering Results Effectively</v>
      </c>
      <c r="T12" s="141"/>
      <c r="U12" s="134"/>
      <c r="V12" s="134"/>
    </row>
    <row r="13" spans="1:22" ht="33.75" customHeight="1" x14ac:dyDescent="0.15">
      <c r="A13" s="134"/>
      <c r="B13" s="134"/>
      <c r="C13" s="138">
        <f ca="1">IFERROR(__xludf.DUMMYFUNCTION("""COMPUTED_VALUE"""),2824363)</f>
        <v>2824363</v>
      </c>
      <c r="D13" s="138" t="str">
        <f ca="1">IFERROR(__xludf.DUMMYFUNCTION("""COMPUTED_VALUE"""),"Advanced")</f>
        <v>Advanced</v>
      </c>
      <c r="E13" s="139" t="str">
        <f ca="1">IFERROR(__xludf.DUMMYFUNCTION("""COMPUTED_VALUE"""),"Advanced Google Ads")</f>
        <v>Advanced Google Ads</v>
      </c>
      <c r="F13" s="150" t="str">
        <f ca="1">IFERROR(__xludf.DUMMYFUNCTION("""COMPUTED_VALUE"""),"Become a Social Media Advertising Specialist")</f>
        <v>Become a Social Media Advertising Specialist</v>
      </c>
      <c r="G13" s="134"/>
      <c r="H13" s="134"/>
      <c r="I13" s="134"/>
      <c r="J13" s="138">
        <f ca="1">IFERROR(__xludf.DUMMYFUNCTION("""COMPUTED_VALUE"""),2804654)</f>
        <v>2804654</v>
      </c>
      <c r="K13" s="138" t="str">
        <f ca="1">IFERROR(__xludf.DUMMYFUNCTION("""COMPUTED_VALUE"""),"Beginner")</f>
        <v>Beginner</v>
      </c>
      <c r="L13" s="139" t="str">
        <f ca="1">IFERROR(__xludf.DUMMYFUNCTION("""COMPUTED_VALUE"""),"Take a More Creative Approach to Problem-Solving")</f>
        <v>Take a More Creative Approach to Problem-Solving</v>
      </c>
      <c r="M13" s="142"/>
      <c r="N13" s="134"/>
      <c r="O13" s="134"/>
      <c r="P13" s="134"/>
      <c r="Q13" s="138">
        <f ca="1">IFERROR(__xludf.DUMMYFUNCTION("""COMPUTED_VALUE"""),661751)</f>
        <v>661751</v>
      </c>
      <c r="R13" s="138" t="str">
        <f ca="1">IFERROR(__xludf.DUMMYFUNCTION("""COMPUTED_VALUE"""),"Beginner")</f>
        <v>Beginner</v>
      </c>
      <c r="S13" s="139" t="str">
        <f ca="1">IFERROR(__xludf.DUMMYFUNCTION("""COMPUTED_VALUE"""),"Developing a Learning Mindset")</f>
        <v>Developing a Learning Mindset</v>
      </c>
      <c r="T13" s="142"/>
      <c r="U13" s="134"/>
      <c r="V13" s="134"/>
    </row>
    <row r="14" spans="1:22" ht="33.75" customHeight="1" x14ac:dyDescent="0.15">
      <c r="A14" s="134"/>
      <c r="B14" s="134"/>
      <c r="C14" s="138">
        <f ca="1">IFERROR(__xludf.DUMMYFUNCTION("""COMPUTED_VALUE"""),2838174)</f>
        <v>2838174</v>
      </c>
      <c r="D14" s="138" t="str">
        <f ca="1">IFERROR(__xludf.DUMMYFUNCTION("""COMPUTED_VALUE"""),"Advanced")</f>
        <v>Advanced</v>
      </c>
      <c r="E14" s="139" t="str">
        <f ca="1">IFERROR(__xludf.DUMMYFUNCTION("""COMPUTED_VALUE"""),"SEO: Link Building")</f>
        <v>SEO: Link Building</v>
      </c>
      <c r="F14" s="140" t="str">
        <f ca="1">IFERROR(__xludf.DUMMYFUNCTION("""COMPUTED_VALUE"""),"Become a Social Media Marketer")</f>
        <v>Become a Social Media Marketer</v>
      </c>
      <c r="G14" s="134"/>
      <c r="H14" s="134"/>
      <c r="I14" s="134"/>
      <c r="J14" s="138">
        <f ca="1">IFERROR(__xludf.DUMMYFUNCTION("""COMPUTED_VALUE"""),178138)</f>
        <v>178138</v>
      </c>
      <c r="K14" s="138" t="str">
        <f ca="1">IFERROR(__xludf.DUMMYFUNCTION("""COMPUTED_VALUE"""),"Beginner")</f>
        <v>Beginner</v>
      </c>
      <c r="L14" s="139" t="str">
        <f ca="1">IFERROR(__xludf.DUMMYFUNCTION("""COMPUTED_VALUE"""),"The Five-Step Creative Process")</f>
        <v>The Five-Step Creative Process</v>
      </c>
      <c r="M14" s="141"/>
      <c r="N14" s="134"/>
      <c r="O14" s="134"/>
      <c r="P14" s="134"/>
      <c r="Q14" s="138">
        <f ca="1">IFERROR(__xludf.DUMMYFUNCTION("""COMPUTED_VALUE"""),718618)</f>
        <v>718618</v>
      </c>
      <c r="R14" s="138" t="str">
        <f ca="1">IFERROR(__xludf.DUMMYFUNCTION("""COMPUTED_VALUE"""),"Beginner")</f>
        <v>Beginner</v>
      </c>
      <c r="S14" s="139" t="str">
        <f ca="1">IFERROR(__xludf.DUMMYFUNCTION("""COMPUTED_VALUE"""),"Enhancing Resilience")</f>
        <v>Enhancing Resilience</v>
      </c>
      <c r="T14" s="141"/>
      <c r="U14" s="134"/>
      <c r="V14" s="134"/>
    </row>
    <row r="15" spans="1:22" ht="33.75" customHeight="1" x14ac:dyDescent="0.15">
      <c r="A15" s="134"/>
      <c r="B15" s="134"/>
      <c r="C15" s="138">
        <f ca="1">IFERROR(__xludf.DUMMYFUNCTION("""COMPUTED_VALUE"""),656805)</f>
        <v>656805</v>
      </c>
      <c r="D15" s="138" t="str">
        <f ca="1">IFERROR(__xludf.DUMMYFUNCTION("""COMPUTED_VALUE"""),"Beginner")</f>
        <v>Beginner</v>
      </c>
      <c r="E15" s="139" t="str">
        <f ca="1">IFERROR(__xludf.DUMMYFUNCTION("""COMPUTED_VALUE"""),"B2B Foundations: Social Media Marketing")</f>
        <v>B2B Foundations: Social Media Marketing</v>
      </c>
      <c r="F15" s="140" t="str">
        <f ca="1">IFERROR(__xludf.DUMMYFUNCTION("""COMPUTED_VALUE"""),"Become an AMA Professional Certified Marketer in Digital Marketing")</f>
        <v>Become an AMA Professional Certified Marketer in Digital Marketing</v>
      </c>
      <c r="G15" s="134"/>
      <c r="H15" s="134"/>
      <c r="I15" s="134"/>
      <c r="J15" s="138">
        <f ca="1">IFERROR(__xludf.DUMMYFUNCTION("""COMPUTED_VALUE"""),2807856)</f>
        <v>2807856</v>
      </c>
      <c r="K15" s="138" t="str">
        <f ca="1">IFERROR(__xludf.DUMMYFUNCTION("""COMPUTED_VALUE"""),"Beginner")</f>
        <v>Beginner</v>
      </c>
      <c r="L15" s="139" t="str">
        <f ca="1">IFERROR(__xludf.DUMMYFUNCTION("""COMPUTED_VALUE"""),"Unlock Your Team's Creativity")</f>
        <v>Unlock Your Team's Creativity</v>
      </c>
      <c r="M15" s="141"/>
      <c r="N15" s="134"/>
      <c r="O15" s="134"/>
      <c r="P15" s="134"/>
      <c r="Q15" s="138">
        <f ca="1">IFERROR(__xludf.DUMMYFUNCTION("""COMPUTED_VALUE"""),88536)</f>
        <v>88536</v>
      </c>
      <c r="R15" s="138" t="str">
        <f ca="1">IFERROR(__xludf.DUMMYFUNCTION("""COMPUTED_VALUE"""),"Beginner")</f>
        <v>Beginner</v>
      </c>
      <c r="S15" s="139" t="str">
        <f ca="1">IFERROR(__xludf.DUMMYFUNCTION("""COMPUTED_VALUE"""),"Enhancing Your Productivity")</f>
        <v>Enhancing Your Productivity</v>
      </c>
      <c r="T15" s="141"/>
      <c r="U15" s="134"/>
      <c r="V15" s="134"/>
    </row>
    <row r="16" spans="1:22" ht="33.75" customHeight="1" x14ac:dyDescent="0.15">
      <c r="A16" s="134"/>
      <c r="B16" s="134"/>
      <c r="C16" s="138">
        <f ca="1">IFERROR(__xludf.DUMMYFUNCTION("""COMPUTED_VALUE"""),737794)</f>
        <v>737794</v>
      </c>
      <c r="D16" s="138" t="str">
        <f ca="1">IFERROR(__xludf.DUMMYFUNCTION("""COMPUTED_VALUE"""),"Beginner")</f>
        <v>Beginner</v>
      </c>
      <c r="E16" s="139" t="str">
        <f ca="1">IFERROR(__xludf.DUMMYFUNCTION("""COMPUTED_VALUE"""),"Digital Marketing Trends")</f>
        <v>Digital Marketing Trends</v>
      </c>
      <c r="F16" s="140" t="str">
        <f ca="1">IFERROR(__xludf.DUMMYFUNCTION("""COMPUTED_VALUE"""),"Become an Online Marketing Manager")</f>
        <v>Become an Online Marketing Manager</v>
      </c>
      <c r="G16" s="134"/>
      <c r="H16" s="134"/>
      <c r="I16" s="134"/>
      <c r="J16" s="138">
        <f ca="1">IFERROR(__xludf.DUMMYFUNCTION("""COMPUTED_VALUE"""),706920)</f>
        <v>706920</v>
      </c>
      <c r="K16" s="138" t="str">
        <f ca="1">IFERROR(__xludf.DUMMYFUNCTION("""COMPUTED_VALUE"""),"Beginner")</f>
        <v>Beginner</v>
      </c>
      <c r="L16" s="139" t="str">
        <f ca="1">IFERROR(__xludf.DUMMYFUNCTION("""COMPUTED_VALUE"""),"Working with Creatives")</f>
        <v>Working with Creatives</v>
      </c>
      <c r="M16" s="141"/>
      <c r="N16" s="134"/>
      <c r="O16" s="134"/>
      <c r="P16" s="134"/>
      <c r="Q16" s="138">
        <f ca="1">IFERROR(__xludf.DUMMYFUNCTION("""COMPUTED_VALUE"""),458641)</f>
        <v>458641</v>
      </c>
      <c r="R16" s="138" t="str">
        <f ca="1">IFERROR(__xludf.DUMMYFUNCTION("""COMPUTED_VALUE"""),"Beginner")</f>
        <v>Beginner</v>
      </c>
      <c r="S16" s="139" t="str">
        <f ca="1">IFERROR(__xludf.DUMMYFUNCTION("""COMPUTED_VALUE"""),"Fred Kofman on Making Commitments")</f>
        <v>Fred Kofman on Making Commitments</v>
      </c>
      <c r="T16" s="141"/>
      <c r="U16" s="134"/>
      <c r="V16" s="134"/>
    </row>
    <row r="17" spans="1:22" ht="33.75" customHeight="1" x14ac:dyDescent="0.15">
      <c r="A17" s="134"/>
      <c r="B17" s="134"/>
      <c r="C17" s="138">
        <f ca="1">IFERROR(__xludf.DUMMYFUNCTION("""COMPUTED_VALUE"""),5010662)</f>
        <v>5010662</v>
      </c>
      <c r="D17" s="138" t="str">
        <f ca="1">IFERROR(__xludf.DUMMYFUNCTION("""COMPUTED_VALUE"""),"Beginner")</f>
        <v>Beginner</v>
      </c>
      <c r="E17" s="139" t="str">
        <f ca="1">IFERROR(__xludf.DUMMYFUNCTION("""COMPUTED_VALUE"""),"Growth Hacking Foundations")</f>
        <v>Growth Hacking Foundations</v>
      </c>
      <c r="F17" s="140" t="str">
        <f ca="1">IFERROR(__xludf.DUMMYFUNCTION("""COMPUTED_VALUE"""),"Develop Your Marketing Skills")</f>
        <v>Develop Your Marketing Skills</v>
      </c>
      <c r="G17" s="134"/>
      <c r="H17" s="134"/>
      <c r="I17" s="134"/>
      <c r="J17" s="138">
        <f ca="1">IFERROR(__xludf.DUMMYFUNCTION("""COMPUTED_VALUE"""),2213242)</f>
        <v>2213242</v>
      </c>
      <c r="K17" s="138" t="str">
        <f ca="1">IFERROR(__xludf.DUMMYFUNCTION("""COMPUTED_VALUE"""),"Beginner")</f>
        <v>Beginner</v>
      </c>
      <c r="L17" s="139" t="str">
        <f ca="1">IFERROR(__xludf.DUMMYFUNCTION("""COMPUTED_VALUE"""),"Building a Creative Online Community")</f>
        <v>Building a Creative Online Community</v>
      </c>
      <c r="M17" s="141"/>
      <c r="N17" s="134"/>
      <c r="O17" s="134"/>
      <c r="P17" s="134"/>
      <c r="Q17" s="138">
        <f ca="1">IFERROR(__xludf.DUMMYFUNCTION("""COMPUTED_VALUE"""),161053)</f>
        <v>161053</v>
      </c>
      <c r="R17" s="138" t="str">
        <f ca="1">IFERROR(__xludf.DUMMYFUNCTION("""COMPUTED_VALUE"""),"Beginner")</f>
        <v>Beginner</v>
      </c>
      <c r="S17" s="139" t="str">
        <f ca="1">IFERROR(__xludf.DUMMYFUNCTION("""COMPUTED_VALUE"""),"Ideas that Resonate")</f>
        <v>Ideas that Resonate</v>
      </c>
      <c r="T17" s="141"/>
      <c r="U17" s="134"/>
      <c r="V17" s="134"/>
    </row>
    <row r="18" spans="1:22" ht="33.75" customHeight="1" x14ac:dyDescent="0.15">
      <c r="A18" s="134"/>
      <c r="B18" s="134"/>
      <c r="C18" s="138">
        <f ca="1">IFERROR(__xludf.DUMMYFUNCTION("""COMPUTED_VALUE"""),157305)</f>
        <v>157305</v>
      </c>
      <c r="D18" s="138" t="str">
        <f ca="1">IFERROR(__xludf.DUMMYFUNCTION("""COMPUTED_VALUE"""),"Beginner")</f>
        <v>Beginner</v>
      </c>
      <c r="E18" s="139" t="str">
        <f ca="1">IFERROR(__xludf.DUMMYFUNCTION("""COMPUTED_VALUE"""),"Jonah Berger on Viral Marketing")</f>
        <v>Jonah Berger on Viral Marketing</v>
      </c>
      <c r="F18" s="140" t="str">
        <f ca="1">IFERROR(__xludf.DUMMYFUNCTION("""COMPUTED_VALUE"""),"Improve your Digital Marketing Skills")</f>
        <v>Improve your Digital Marketing Skills</v>
      </c>
      <c r="G18" s="134"/>
      <c r="H18" s="134"/>
      <c r="I18" s="134"/>
      <c r="J18" s="138">
        <f ca="1">IFERROR(__xludf.DUMMYFUNCTION("""COMPUTED_VALUE"""),2814148)</f>
        <v>2814148</v>
      </c>
      <c r="K18" s="138" t="str">
        <f ca="1">IFERROR(__xludf.DUMMYFUNCTION("""COMPUTED_VALUE"""),"Beginner")</f>
        <v>Beginner</v>
      </c>
      <c r="L18" s="139" t="str">
        <f ca="1">IFERROR(__xludf.DUMMYFUNCTION("""COMPUTED_VALUE"""),"Mission and Vision Statements Explained")</f>
        <v>Mission and Vision Statements Explained</v>
      </c>
      <c r="M18" s="141"/>
      <c r="N18" s="134"/>
      <c r="O18" s="134"/>
      <c r="P18" s="134"/>
      <c r="Q18" s="138">
        <f ca="1">IFERROR(__xludf.DUMMYFUNCTION("""COMPUTED_VALUE"""),162446)</f>
        <v>162446</v>
      </c>
      <c r="R18" s="138" t="str">
        <f ca="1">IFERROR(__xludf.DUMMYFUNCTION("""COMPUTED_VALUE"""),"Beginner")</f>
        <v>Beginner</v>
      </c>
      <c r="S18" s="139" t="str">
        <f ca="1">IFERROR(__xludf.DUMMYFUNCTION("""COMPUTED_VALUE"""),"The Six Biases of Decision-Making")</f>
        <v>The Six Biases of Decision-Making</v>
      </c>
      <c r="T18" s="141"/>
      <c r="U18" s="134"/>
      <c r="V18" s="134"/>
    </row>
    <row r="19" spans="1:22" ht="33.75" customHeight="1" x14ac:dyDescent="0.15">
      <c r="A19" s="134"/>
      <c r="B19" s="134"/>
      <c r="C19" s="138">
        <f ca="1">IFERROR(__xludf.DUMMYFUNCTION("""COMPUTED_VALUE"""),601813)</f>
        <v>601813</v>
      </c>
      <c r="D19" s="138" t="str">
        <f ca="1">IFERROR(__xludf.DUMMYFUNCTION("""COMPUTED_VALUE"""),"Beginner")</f>
        <v>Beginner</v>
      </c>
      <c r="E19" s="139" t="str">
        <f ca="1">IFERROR(__xludf.DUMMYFUNCTION("""COMPUTED_VALUE"""),"Lifecycle Marketing Foundations")</f>
        <v>Lifecycle Marketing Foundations</v>
      </c>
      <c r="F19" s="141"/>
      <c r="G19" s="134"/>
      <c r="H19" s="134"/>
      <c r="I19" s="134"/>
      <c r="J19" s="138">
        <f ca="1">IFERROR(__xludf.DUMMYFUNCTION("""COMPUTED_VALUE"""),2822032)</f>
        <v>2822032</v>
      </c>
      <c r="K19" s="138" t="str">
        <f ca="1">IFERROR(__xludf.DUMMYFUNCTION("""COMPUTED_VALUE"""),"Beginner")</f>
        <v>Beginner</v>
      </c>
      <c r="L19" s="139" t="str">
        <f ca="1">IFERROR(__xludf.DUMMYFUNCTION("""COMPUTED_VALUE"""),"Icebreakers for Teams, Meetings, and Groups")</f>
        <v>Icebreakers for Teams, Meetings, and Groups</v>
      </c>
      <c r="M19" s="141"/>
      <c r="N19" s="134"/>
      <c r="O19" s="134"/>
      <c r="P19" s="134"/>
      <c r="Q19" s="138">
        <f ca="1">IFERROR(__xludf.DUMMYFUNCTION("""COMPUTED_VALUE"""),661749)</f>
        <v>661749</v>
      </c>
      <c r="R19" s="138" t="str">
        <f ca="1">IFERROR(__xludf.DUMMYFUNCTION("""COMPUTED_VALUE"""),"Beginner")</f>
        <v>Beginner</v>
      </c>
      <c r="S19" s="139" t="str">
        <f ca="1">IFERROR(__xludf.DUMMYFUNCTION("""COMPUTED_VALUE"""),"Learning Agility")</f>
        <v>Learning Agility</v>
      </c>
      <c r="T19" s="141"/>
      <c r="U19" s="134"/>
      <c r="V19" s="134"/>
    </row>
    <row r="20" spans="1:22" ht="33.75" customHeight="1" x14ac:dyDescent="0.15">
      <c r="A20" s="134"/>
      <c r="B20" s="134"/>
      <c r="C20" s="138">
        <f ca="1">IFERROR(__xludf.DUMMYFUNCTION("""COMPUTED_VALUE"""),192458)</f>
        <v>192458</v>
      </c>
      <c r="D20" s="138" t="str">
        <f ca="1">IFERROR(__xludf.DUMMYFUNCTION("""COMPUTED_VALUE"""),"Beginner")</f>
        <v>Beginner</v>
      </c>
      <c r="E20" s="139" t="str">
        <f ca="1">IFERROR(__xludf.DUMMYFUNCTION("""COMPUTED_VALUE"""),"Marketing Foundations: International Marketing")</f>
        <v>Marketing Foundations: International Marketing</v>
      </c>
      <c r="F20" s="141"/>
      <c r="G20" s="134"/>
      <c r="H20" s="134"/>
      <c r="I20" s="134"/>
      <c r="J20" s="138">
        <f ca="1">IFERROR(__xludf.DUMMYFUNCTION("""COMPUTED_VALUE"""),2823256)</f>
        <v>2823256</v>
      </c>
      <c r="K20" s="138" t="str">
        <f ca="1">IFERROR(__xludf.DUMMYFUNCTION("""COMPUTED_VALUE"""),"Beginner")</f>
        <v>Beginner</v>
      </c>
      <c r="L20" s="139" t="str">
        <f ca="1">IFERROR(__xludf.DUMMYFUNCTION("""COMPUTED_VALUE"""),"How Getting Curious Helps You Achieve Everything")</f>
        <v>How Getting Curious Helps You Achieve Everything</v>
      </c>
      <c r="M20" s="141"/>
      <c r="N20" s="134"/>
      <c r="O20" s="134"/>
      <c r="P20" s="134"/>
      <c r="Q20" s="138">
        <f ca="1">IFERROR(__xludf.DUMMYFUNCTION("""COMPUTED_VALUE"""),363225)</f>
        <v>363225</v>
      </c>
      <c r="R20" s="138" t="str">
        <f ca="1">IFERROR(__xludf.DUMMYFUNCTION("""COMPUTED_VALUE"""),"Beginner")</f>
        <v>Beginner</v>
      </c>
      <c r="S20" s="139" t="str">
        <f ca="1">IFERROR(__xludf.DUMMYFUNCTION("""COMPUTED_VALUE"""),"Learning from Failure")</f>
        <v>Learning from Failure</v>
      </c>
      <c r="T20" s="141"/>
      <c r="U20" s="134"/>
      <c r="V20" s="134"/>
    </row>
    <row r="21" spans="1:22" ht="33.75" customHeight="1" x14ac:dyDescent="0.15">
      <c r="A21" s="134"/>
      <c r="B21" s="134"/>
      <c r="C21" s="138">
        <f ca="1">IFERROR(__xludf.DUMMYFUNCTION("""COMPUTED_VALUE"""),2808539)</f>
        <v>2808539</v>
      </c>
      <c r="D21" s="138" t="str">
        <f ca="1">IFERROR(__xludf.DUMMYFUNCTION("""COMPUTED_VALUE"""),"Beginner")</f>
        <v>Beginner</v>
      </c>
      <c r="E21" s="139" t="str">
        <f ca="1">IFERROR(__xludf.DUMMYFUNCTION("""COMPUTED_VALUE"""),"Marketing Your Side Hustle")</f>
        <v>Marketing Your Side Hustle</v>
      </c>
      <c r="F21" s="141"/>
      <c r="G21" s="134"/>
      <c r="H21" s="134"/>
      <c r="I21" s="134"/>
      <c r="J21" s="138">
        <f ca="1">IFERROR(__xludf.DUMMYFUNCTION("""COMPUTED_VALUE"""),2815157)</f>
        <v>2815157</v>
      </c>
      <c r="K21" s="138" t="str">
        <f ca="1">IFERROR(__xludf.DUMMYFUNCTION("""COMPUTED_VALUE"""),"Beginner")</f>
        <v>Beginner</v>
      </c>
      <c r="L21" s="139" t="str">
        <f ca="1">IFERROR(__xludf.DUMMYFUNCTION("""COMPUTED_VALUE"""),"Agile Software Development: Creating an Agile Culture")</f>
        <v>Agile Software Development: Creating an Agile Culture</v>
      </c>
      <c r="M21" s="141"/>
      <c r="N21" s="134"/>
      <c r="O21" s="134"/>
      <c r="P21" s="134"/>
      <c r="Q21" s="138">
        <f ca="1">IFERROR(__xludf.DUMMYFUNCTION("""COMPUTED_VALUE"""),114903)</f>
        <v>114903</v>
      </c>
      <c r="R21" s="138" t="str">
        <f ca="1">IFERROR(__xludf.DUMMYFUNCTION("""COMPUTED_VALUE"""),"Beginner")</f>
        <v>Beginner</v>
      </c>
      <c r="S21" s="139" t="str">
        <f ca="1">IFERROR(__xludf.DUMMYFUNCTION("""COMPUTED_VALUE"""),"Monday Productivity Pointers")</f>
        <v>Monday Productivity Pointers</v>
      </c>
      <c r="T21" s="141"/>
      <c r="U21" s="134"/>
      <c r="V21" s="134"/>
    </row>
    <row r="22" spans="1:22" ht="33.75" customHeight="1" x14ac:dyDescent="0.15">
      <c r="A22" s="134"/>
      <c r="B22" s="134"/>
      <c r="C22" s="138">
        <f ca="1">IFERROR(__xludf.DUMMYFUNCTION("""COMPUTED_VALUE"""),737795)</f>
        <v>737795</v>
      </c>
      <c r="D22" s="138" t="str">
        <f ca="1">IFERROR(__xludf.DUMMYFUNCTION("""COMPUTED_VALUE"""),"Beginner")</f>
        <v>Beginner</v>
      </c>
      <c r="E22" s="139" t="str">
        <f ca="1">IFERROR(__xludf.DUMMYFUNCTION("""COMPUTED_VALUE"""),"Marketing Tips")</f>
        <v>Marketing Tips</v>
      </c>
      <c r="F22" s="141"/>
      <c r="G22" s="134"/>
      <c r="H22" s="134"/>
      <c r="I22" s="134"/>
      <c r="J22" s="138">
        <f ca="1">IFERROR(__xludf.DUMMYFUNCTION("""COMPUTED_VALUE"""),2833044)</f>
        <v>2833044</v>
      </c>
      <c r="K22" s="138" t="str">
        <f ca="1">IFERROR(__xludf.DUMMYFUNCTION("""COMPUTED_VALUE"""),"Beginner + Intermediate")</f>
        <v>Beginner + Intermediate</v>
      </c>
      <c r="L22" s="139" t="str">
        <f ca="1">IFERROR(__xludf.DUMMYFUNCTION("""COMPUTED_VALUE"""),"Introduction to Responsible AI Algorithm Design")</f>
        <v>Introduction to Responsible AI Algorithm Design</v>
      </c>
      <c r="M22" s="141"/>
      <c r="N22" s="134"/>
      <c r="O22" s="134"/>
      <c r="P22" s="134"/>
      <c r="Q22" s="138">
        <f ca="1">IFERROR(__xludf.DUMMYFUNCTION("""COMPUTED_VALUE"""),737763)</f>
        <v>737763</v>
      </c>
      <c r="R22" s="138" t="str">
        <f ca="1">IFERROR(__xludf.DUMMYFUNCTION("""COMPUTED_VALUE"""),"Beginner")</f>
        <v>Beginner</v>
      </c>
      <c r="S22" s="139" t="str">
        <f ca="1">IFERROR(__xludf.DUMMYFUNCTION("""COMPUTED_VALUE"""),"Prioritizing Your Tasks")</f>
        <v>Prioritizing Your Tasks</v>
      </c>
      <c r="T22" s="141"/>
      <c r="U22" s="134"/>
      <c r="V22" s="134"/>
    </row>
    <row r="23" spans="1:22" ht="33.75" customHeight="1" x14ac:dyDescent="0.15">
      <c r="A23" s="134"/>
      <c r="B23" s="134"/>
      <c r="C23" s="138">
        <f ca="1">IFERROR(__xludf.DUMMYFUNCTION("""COMPUTED_VALUE"""),672872)</f>
        <v>672872</v>
      </c>
      <c r="D23" s="138" t="str">
        <f ca="1">IFERROR(__xludf.DUMMYFUNCTION("""COMPUTED_VALUE"""),"Beginner")</f>
        <v>Beginner</v>
      </c>
      <c r="E23" s="139" t="str">
        <f ca="1">IFERROR(__xludf.DUMMYFUNCTION("""COMPUTED_VALUE"""),"Marketing to Humans")</f>
        <v>Marketing to Humans</v>
      </c>
      <c r="F23" s="141"/>
      <c r="G23" s="134"/>
      <c r="H23" s="134"/>
      <c r="I23" s="134"/>
      <c r="J23" s="138">
        <f ca="1">IFERROR(__xludf.DUMMYFUNCTION("""COMPUTED_VALUE"""),2833091)</f>
        <v>2833091</v>
      </c>
      <c r="K23" s="138" t="str">
        <f ca="1">IFERROR(__xludf.DUMMYFUNCTION("""COMPUTED_VALUE"""),"Beginner + Intermediate")</f>
        <v>Beginner + Intermediate</v>
      </c>
      <c r="L23" s="139" t="str">
        <f ca="1">IFERROR(__xludf.DUMMYFUNCTION("""COMPUTED_VALUE"""),"How Blockchains Will Change Business")</f>
        <v>How Blockchains Will Change Business</v>
      </c>
      <c r="M23" s="141"/>
      <c r="N23" s="134"/>
      <c r="O23" s="134"/>
      <c r="P23" s="134"/>
      <c r="Q23" s="138">
        <f ca="1">IFERROR(__xludf.DUMMYFUNCTION("""COMPUTED_VALUE"""),553700)</f>
        <v>553700</v>
      </c>
      <c r="R23" s="138" t="str">
        <f ca="1">IFERROR(__xludf.DUMMYFUNCTION("""COMPUTED_VALUE"""),"Beginner")</f>
        <v>Beginner</v>
      </c>
      <c r="S23" s="139" t="str">
        <f ca="1">IFERROR(__xludf.DUMMYFUNCTION("""COMPUTED_VALUE"""),"Problem Solving Techniques")</f>
        <v>Problem Solving Techniques</v>
      </c>
      <c r="T23" s="141"/>
      <c r="U23" s="134"/>
      <c r="V23" s="134"/>
    </row>
    <row r="24" spans="1:22" ht="33.75" customHeight="1" x14ac:dyDescent="0.15">
      <c r="A24" s="134"/>
      <c r="B24" s="134"/>
      <c r="C24" s="138">
        <f ca="1">IFERROR(__xludf.DUMMYFUNCTION("""COMPUTED_VALUE"""),728408)</f>
        <v>728408</v>
      </c>
      <c r="D24" s="138" t="str">
        <f ca="1">IFERROR(__xludf.DUMMYFUNCTION("""COMPUTED_VALUE"""),"Beginner")</f>
        <v>Beginner</v>
      </c>
      <c r="E24" s="139" t="str">
        <f ca="1">IFERROR(__xludf.DUMMYFUNCTION("""COMPUTED_VALUE"""),"Mobile Marketing Foundations")</f>
        <v>Mobile Marketing Foundations</v>
      </c>
      <c r="F24" s="141"/>
      <c r="G24" s="134"/>
      <c r="H24" s="134"/>
      <c r="I24" s="134"/>
      <c r="J24" s="138">
        <f ca="1">IFERROR(__xludf.DUMMYFUNCTION("""COMPUTED_VALUE"""),2840016)</f>
        <v>2840016</v>
      </c>
      <c r="K24" s="138" t="str">
        <f ca="1">IFERROR(__xludf.DUMMYFUNCTION("""COMPUTED_VALUE"""),"Beginner + Intermediate")</f>
        <v>Beginner + Intermediate</v>
      </c>
      <c r="L24" s="139" t="str">
        <f ca="1">IFERROR(__xludf.DUMMYFUNCTION("""COMPUTED_VALUE"""),"Design Thinking: Implementing the Process")</f>
        <v>Design Thinking: Implementing the Process</v>
      </c>
      <c r="M24" s="141"/>
      <c r="N24" s="134"/>
      <c r="O24" s="134"/>
      <c r="P24" s="134"/>
      <c r="Q24" s="138">
        <f ca="1">IFERROR(__xludf.DUMMYFUNCTION("""COMPUTED_VALUE"""),365729)</f>
        <v>365729</v>
      </c>
      <c r="R24" s="138" t="str">
        <f ca="1">IFERROR(__xludf.DUMMYFUNCTION("""COMPUTED_VALUE"""),"Beginner")</f>
        <v>Beginner</v>
      </c>
      <c r="S24" s="139" t="str">
        <f ca="1">IFERROR(__xludf.DUMMYFUNCTION("""COMPUTED_VALUE"""),"Process Improvement Foundations")</f>
        <v>Process Improvement Foundations</v>
      </c>
      <c r="T24" s="141"/>
      <c r="U24" s="134"/>
      <c r="V24" s="134"/>
    </row>
    <row r="25" spans="1:22" ht="33.75" customHeight="1" x14ac:dyDescent="0.15">
      <c r="A25" s="134"/>
      <c r="B25" s="134"/>
      <c r="C25" s="138">
        <f ca="1">IFERROR(__xludf.DUMMYFUNCTION("""COMPUTED_VALUE"""),693114)</f>
        <v>693114</v>
      </c>
      <c r="D25" s="138" t="str">
        <f ca="1">IFERROR(__xludf.DUMMYFUNCTION("""COMPUTED_VALUE"""),"Beginner")</f>
        <v>Beginner</v>
      </c>
      <c r="E25" s="139" t="str">
        <f ca="1">IFERROR(__xludf.DUMMYFUNCTION("""COMPUTED_VALUE"""),"Online Marketing Foundations")</f>
        <v>Online Marketing Foundations</v>
      </c>
      <c r="F25" s="141"/>
      <c r="G25" s="134"/>
      <c r="H25" s="134"/>
      <c r="I25" s="134"/>
      <c r="J25" s="138">
        <f ca="1">IFERROR(__xludf.DUMMYFUNCTION("""COMPUTED_VALUE"""),2824376)</f>
        <v>2824376</v>
      </c>
      <c r="K25" s="138" t="str">
        <f ca="1">IFERROR(__xludf.DUMMYFUNCTION("""COMPUTED_VALUE"""),"Beginner + Intermediate")</f>
        <v>Beginner + Intermediate</v>
      </c>
      <c r="L25" s="139" t="str">
        <f ca="1">IFERROR(__xludf.DUMMYFUNCTION("""COMPUTED_VALUE"""),"Charles Adler: A Story of Kickstarting an Idea")</f>
        <v>Charles Adler: A Story of Kickstarting an Idea</v>
      </c>
      <c r="M25" s="141"/>
      <c r="N25" s="134"/>
      <c r="O25" s="134"/>
      <c r="P25" s="134"/>
      <c r="Q25" s="138">
        <f ca="1">IFERROR(__xludf.DUMMYFUNCTION("""COMPUTED_VALUE"""),669533)</f>
        <v>669533</v>
      </c>
      <c r="R25" s="138" t="str">
        <f ca="1">IFERROR(__xludf.DUMMYFUNCTION("""COMPUTED_VALUE"""),"Beginner")</f>
        <v>Beginner</v>
      </c>
      <c r="S25" s="139" t="str">
        <f ca="1">IFERROR(__xludf.DUMMYFUNCTION("""COMPUTED_VALUE"""),"Sheryl Sandberg and Adam Grant on Option B: Building Resilience")</f>
        <v>Sheryl Sandberg and Adam Grant on Option B: Building Resilience</v>
      </c>
      <c r="T25" s="141"/>
      <c r="U25" s="134"/>
      <c r="V25" s="134"/>
    </row>
    <row r="26" spans="1:22" ht="33.75" customHeight="1" x14ac:dyDescent="0.15">
      <c r="A26" s="134"/>
      <c r="B26" s="134"/>
      <c r="C26" s="138">
        <f ca="1">IFERROR(__xludf.DUMMYFUNCTION("""COMPUTED_VALUE"""),711801)</f>
        <v>711801</v>
      </c>
      <c r="D26" s="138" t="str">
        <f ca="1">IFERROR(__xludf.DUMMYFUNCTION("""COMPUTED_VALUE"""),"Beginner")</f>
        <v>Beginner</v>
      </c>
      <c r="E26" s="139" t="str">
        <f ca="1">IFERROR(__xludf.DUMMYFUNCTION("""COMPUTED_VALUE"""),"Power BI for Marketers")</f>
        <v>Power BI for Marketers</v>
      </c>
      <c r="F26" s="141"/>
      <c r="G26" s="134"/>
      <c r="H26" s="134"/>
      <c r="I26" s="134"/>
      <c r="J26" s="138">
        <f ca="1">IFERROR(__xludf.DUMMYFUNCTION("""COMPUTED_VALUE"""),2824108)</f>
        <v>2824108</v>
      </c>
      <c r="K26" s="138" t="str">
        <f ca="1">IFERROR(__xludf.DUMMYFUNCTION("""COMPUTED_VALUE"""),"Beginner + Intermediate")</f>
        <v>Beginner + Intermediate</v>
      </c>
      <c r="L26" s="139" t="str">
        <f ca="1">IFERROR(__xludf.DUMMYFUNCTION("""COMPUTED_VALUE"""),"Practical Creativity for Everyone")</f>
        <v>Practical Creativity for Everyone</v>
      </c>
      <c r="M26" s="141"/>
      <c r="N26" s="134"/>
      <c r="O26" s="134"/>
      <c r="P26" s="134"/>
      <c r="Q26" s="138">
        <f ca="1">IFERROR(__xludf.DUMMYFUNCTION("""COMPUTED_VALUE"""),385661)</f>
        <v>385661</v>
      </c>
      <c r="R26" s="138" t="str">
        <f ca="1">IFERROR(__xludf.DUMMYFUNCTION("""COMPUTED_VALUE"""),"Beginner")</f>
        <v>Beginner</v>
      </c>
      <c r="S26" s="139" t="str">
        <f ca="1">IFERROR(__xludf.DUMMYFUNCTION("""COMPUTED_VALUE"""),"Simplifying Business Processes")</f>
        <v>Simplifying Business Processes</v>
      </c>
      <c r="T26" s="141"/>
      <c r="U26" s="134"/>
      <c r="V26" s="134"/>
    </row>
    <row r="27" spans="1:22" ht="33.75" customHeight="1" x14ac:dyDescent="0.15">
      <c r="A27" s="134"/>
      <c r="B27" s="134"/>
      <c r="C27" s="138">
        <f ca="1">IFERROR(__xludf.DUMMYFUNCTION("""COMPUTED_VALUE"""),737788)</f>
        <v>737788</v>
      </c>
      <c r="D27" s="138" t="str">
        <f ca="1">IFERROR(__xludf.DUMMYFUNCTION("""COMPUTED_VALUE"""),"Beginner")</f>
        <v>Beginner</v>
      </c>
      <c r="E27" s="139" t="str">
        <f ca="1">IFERROR(__xludf.DUMMYFUNCTION("""COMPUTED_VALUE"""),"SEO Foundations")</f>
        <v>SEO Foundations</v>
      </c>
      <c r="F27" s="141"/>
      <c r="G27" s="134"/>
      <c r="H27" s="134"/>
      <c r="I27" s="134"/>
      <c r="J27" s="138">
        <f ca="1">IFERROR(__xludf.DUMMYFUNCTION("""COMPUTED_VALUE"""),5030976)</f>
        <v>5030976</v>
      </c>
      <c r="K27" s="138" t="str">
        <f ca="1">IFERROR(__xludf.DUMMYFUNCTION("""COMPUTED_VALUE"""),"Beginner + Intermediate")</f>
        <v>Beginner + Intermediate</v>
      </c>
      <c r="L27" s="139" t="str">
        <f ca="1">IFERROR(__xludf.DUMMYFUNCTION("""COMPUTED_VALUE"""),"Graphic Design Foundations: Ideas, Concepts, and Form")</f>
        <v>Graphic Design Foundations: Ideas, Concepts, and Form</v>
      </c>
      <c r="M27" s="141"/>
      <c r="N27" s="134"/>
      <c r="O27" s="134"/>
      <c r="P27" s="134"/>
      <c r="Q27" s="138">
        <f ca="1">IFERROR(__xludf.DUMMYFUNCTION("""COMPUTED_VALUE"""),155342)</f>
        <v>155342</v>
      </c>
      <c r="R27" s="138" t="str">
        <f ca="1">IFERROR(__xludf.DUMMYFUNCTION("""COMPUTED_VALUE"""),"Beginner")</f>
        <v>Beginner</v>
      </c>
      <c r="S27" s="139" t="str">
        <f ca="1">IFERROR(__xludf.DUMMYFUNCTION("""COMPUTED_VALUE"""),"Solving Business Problems")</f>
        <v>Solving Business Problems</v>
      </c>
      <c r="T27" s="141"/>
      <c r="U27" s="134"/>
      <c r="V27" s="134"/>
    </row>
    <row r="28" spans="1:22" ht="33.75" customHeight="1" x14ac:dyDescent="0.15">
      <c r="A28" s="134"/>
      <c r="B28" s="134"/>
      <c r="C28" s="138">
        <f ca="1">IFERROR(__xludf.DUMMYFUNCTION("""COMPUTED_VALUE"""),656807)</f>
        <v>656807</v>
      </c>
      <c r="D28" s="138" t="str">
        <f ca="1">IFERROR(__xludf.DUMMYFUNCTION("""COMPUTED_VALUE"""),"Beginner")</f>
        <v>Beginner</v>
      </c>
      <c r="E28" s="139" t="str">
        <f ca="1">IFERROR(__xludf.DUMMYFUNCTION("""COMPUTED_VALUE"""),"Setting a Marketing Budget")</f>
        <v>Setting a Marketing Budget</v>
      </c>
      <c r="F28" s="141"/>
      <c r="G28" s="134"/>
      <c r="H28" s="134"/>
      <c r="I28" s="134"/>
      <c r="J28" s="138">
        <f ca="1">IFERROR(__xludf.DUMMYFUNCTION("""COMPUTED_VALUE"""),782124)</f>
        <v>782124</v>
      </c>
      <c r="K28" s="138" t="str">
        <f ca="1">IFERROR(__xludf.DUMMYFUNCTION("""COMPUTED_VALUE"""),"Beginner + Intermediate")</f>
        <v>Beginner + Intermediate</v>
      </c>
      <c r="L28" s="139" t="str">
        <f ca="1">IFERROR(__xludf.DUMMYFUNCTION("""COMPUTED_VALUE"""),"Applied Curiosity")</f>
        <v>Applied Curiosity</v>
      </c>
      <c r="M28" s="141"/>
      <c r="N28" s="134"/>
      <c r="O28" s="134"/>
      <c r="P28" s="134"/>
      <c r="Q28" s="138">
        <f ca="1">IFERROR(__xludf.DUMMYFUNCTION("""COMPUTED_VALUE"""),728377)</f>
        <v>728377</v>
      </c>
      <c r="R28" s="138" t="str">
        <f ca="1">IFERROR(__xludf.DUMMYFUNCTION("""COMPUTED_VALUE"""),"Beginner")</f>
        <v>Beginner</v>
      </c>
      <c r="S28" s="139" t="str">
        <f ca="1">IFERROR(__xludf.DUMMYFUNCTION("""COMPUTED_VALUE"""),"Successful Goal Setting")</f>
        <v>Successful Goal Setting</v>
      </c>
      <c r="T28" s="141"/>
      <c r="U28" s="134"/>
      <c r="V28" s="134"/>
    </row>
    <row r="29" spans="1:22" ht="33.75" customHeight="1" x14ac:dyDescent="0.15">
      <c r="A29" s="134"/>
      <c r="B29" s="134"/>
      <c r="C29" s="138">
        <f ca="1">IFERROR(__xludf.DUMMYFUNCTION("""COMPUTED_VALUE"""),2211320)</f>
        <v>2211320</v>
      </c>
      <c r="D29" s="138" t="str">
        <f ca="1">IFERROR(__xludf.DUMMYFUNCTION("""COMPUTED_VALUE"""),"Beginner")</f>
        <v>Beginner</v>
      </c>
      <c r="E29" s="139" t="str">
        <f ca="1">IFERROR(__xludf.DUMMYFUNCTION("""COMPUTED_VALUE"""),"Marketing on LinkedIn: The Sophisticated Marketer's Guide")</f>
        <v>Marketing on LinkedIn: The Sophisticated Marketer's Guide</v>
      </c>
      <c r="F29" s="141"/>
      <c r="G29" s="134"/>
      <c r="H29" s="134"/>
      <c r="I29" s="134"/>
      <c r="J29" s="138">
        <f ca="1">IFERROR(__xludf.DUMMYFUNCTION("""COMPUTED_VALUE"""),138322)</f>
        <v>138322</v>
      </c>
      <c r="K29" s="138" t="str">
        <f ca="1">IFERROR(__xludf.DUMMYFUNCTION("""COMPUTED_VALUE"""),"Beginner + Intermediate")</f>
        <v>Beginner + Intermediate</v>
      </c>
      <c r="L29" s="139" t="str">
        <f ca="1">IFERROR(__xludf.DUMMYFUNCTION("""COMPUTED_VALUE"""),"Creativity: Generate Ideas in Greater Quantity and Quality")</f>
        <v>Creativity: Generate Ideas in Greater Quantity and Quality</v>
      </c>
      <c r="M29" s="141"/>
      <c r="N29" s="134"/>
      <c r="O29" s="134"/>
      <c r="P29" s="134"/>
      <c r="Q29" s="138">
        <f ca="1">IFERROR(__xludf.DUMMYFUNCTION("""COMPUTED_VALUE"""),2802468)</f>
        <v>2802468</v>
      </c>
      <c r="R29" s="138" t="str">
        <f ca="1">IFERROR(__xludf.DUMMYFUNCTION("""COMPUTED_VALUE"""),"Beginner")</f>
        <v>Beginner</v>
      </c>
      <c r="S29" s="139" t="str">
        <f ca="1">IFERROR(__xludf.DUMMYFUNCTION("""COMPUTED_VALUE"""),"Time-Tested Methods for Making Complex Decisions")</f>
        <v>Time-Tested Methods for Making Complex Decisions</v>
      </c>
      <c r="T29" s="141"/>
      <c r="U29" s="134"/>
      <c r="V29" s="134"/>
    </row>
    <row r="30" spans="1:22" ht="33.75" customHeight="1" x14ac:dyDescent="0.15">
      <c r="A30" s="134"/>
      <c r="B30" s="134"/>
      <c r="C30" s="138">
        <f ca="1">IFERROR(__xludf.DUMMYFUNCTION("""COMPUTED_VALUE"""),2213242)</f>
        <v>2213242</v>
      </c>
      <c r="D30" s="138" t="str">
        <f ca="1">IFERROR(__xludf.DUMMYFUNCTION("""COMPUTED_VALUE"""),"Beginner")</f>
        <v>Beginner</v>
      </c>
      <c r="E30" s="139" t="str">
        <f ca="1">IFERROR(__xludf.DUMMYFUNCTION("""COMPUTED_VALUE"""),"Building a Creative Online Community")</f>
        <v>Building a Creative Online Community</v>
      </c>
      <c r="F30" s="141"/>
      <c r="G30" s="134"/>
      <c r="H30" s="134"/>
      <c r="I30" s="134"/>
      <c r="J30" s="138">
        <f ca="1">IFERROR(__xludf.DUMMYFUNCTION("""COMPUTED_VALUE"""),161053)</f>
        <v>161053</v>
      </c>
      <c r="K30" s="138" t="str">
        <f ca="1">IFERROR(__xludf.DUMMYFUNCTION("""COMPUTED_VALUE"""),"Beginner + Intermediate")</f>
        <v>Beginner + Intermediate</v>
      </c>
      <c r="L30" s="139" t="str">
        <f ca="1">IFERROR(__xludf.DUMMYFUNCTION("""COMPUTED_VALUE"""),"Ideas that Resonate")</f>
        <v>Ideas that Resonate</v>
      </c>
      <c r="M30" s="141"/>
      <c r="N30" s="134"/>
      <c r="O30" s="134"/>
      <c r="P30" s="134"/>
      <c r="Q30" s="138">
        <f ca="1">IFERROR(__xludf.DUMMYFUNCTION("""COMPUTED_VALUE"""),2816034)</f>
        <v>2816034</v>
      </c>
      <c r="R30" s="138" t="str">
        <f ca="1">IFERROR(__xludf.DUMMYFUNCTION("""COMPUTED_VALUE"""),"Beginner")</f>
        <v>Beginner</v>
      </c>
      <c r="S30" s="139" t="str">
        <f ca="1">IFERROR(__xludf.DUMMYFUNCTION("""COMPUTED_VALUE"""),"Crafting Problem and Solution Statements")</f>
        <v>Crafting Problem and Solution Statements</v>
      </c>
      <c r="T30" s="141"/>
      <c r="U30" s="134"/>
      <c r="V30" s="134"/>
    </row>
    <row r="31" spans="1:22" ht="33.75" customHeight="1" x14ac:dyDescent="0.15">
      <c r="A31" s="134"/>
      <c r="B31" s="134"/>
      <c r="C31" s="138">
        <f ca="1">IFERROR(__xludf.DUMMYFUNCTION("""COMPUTED_VALUE"""),2810407)</f>
        <v>2810407</v>
      </c>
      <c r="D31" s="138" t="str">
        <f ca="1">IFERROR(__xludf.DUMMYFUNCTION("""COMPUTED_VALUE"""),"Beginner")</f>
        <v>Beginner</v>
      </c>
      <c r="E31" s="139" t="str">
        <f ca="1">IFERROR(__xludf.DUMMYFUNCTION("""COMPUTED_VALUE"""),"Social Media Video for Business and Marketing")</f>
        <v>Social Media Video for Business and Marketing</v>
      </c>
      <c r="F31" s="141"/>
      <c r="G31" s="134"/>
      <c r="H31" s="134"/>
      <c r="I31" s="134"/>
      <c r="J31" s="138">
        <f ca="1">IFERROR(__xludf.DUMMYFUNCTION("""COMPUTED_VALUE"""),585010)</f>
        <v>585010</v>
      </c>
      <c r="K31" s="138" t="str">
        <f ca="1">IFERROR(__xludf.DUMMYFUNCTION("""COMPUTED_VALUE"""),"Beginner + Intermediate")</f>
        <v>Beginner + Intermediate</v>
      </c>
      <c r="L31" s="139" t="str">
        <f ca="1">IFERROR(__xludf.DUMMYFUNCTION("""COMPUTED_VALUE"""),"Leading with Innovation")</f>
        <v>Leading with Innovation</v>
      </c>
      <c r="M31" s="141"/>
      <c r="N31" s="134"/>
      <c r="O31" s="134"/>
      <c r="P31" s="134"/>
      <c r="Q31" s="138">
        <f ca="1">IFERROR(__xludf.DUMMYFUNCTION("""COMPUTED_VALUE"""),2823137)</f>
        <v>2823137</v>
      </c>
      <c r="R31" s="138" t="str">
        <f ca="1">IFERROR(__xludf.DUMMYFUNCTION("""COMPUTED_VALUE"""),"Beginner")</f>
        <v>Beginner</v>
      </c>
      <c r="S31" s="139" t="str">
        <f ca="1">IFERROR(__xludf.DUMMYFUNCTION("""COMPUTED_VALUE"""),"Improving Your Judgment for Better Decision-Making")</f>
        <v>Improving Your Judgment for Better Decision-Making</v>
      </c>
      <c r="T31" s="141"/>
      <c r="U31" s="134"/>
      <c r="V31" s="134"/>
    </row>
    <row r="32" spans="1:22" ht="33.75" customHeight="1" x14ac:dyDescent="0.15">
      <c r="A32" s="134"/>
      <c r="B32" s="134"/>
      <c r="C32" s="138">
        <f ca="1">IFERROR(__xludf.DUMMYFUNCTION("""COMPUTED_VALUE"""),2813304)</f>
        <v>2813304</v>
      </c>
      <c r="D32" s="138" t="str">
        <f ca="1">IFERROR(__xludf.DUMMYFUNCTION("""COMPUTED_VALUE"""),"Beginner")</f>
        <v>Beginner</v>
      </c>
      <c r="E32" s="139" t="str">
        <f ca="1">IFERROR(__xludf.DUMMYFUNCTION("""COMPUTED_VALUE"""),"Positioning Your Product or Service")</f>
        <v>Positioning Your Product or Service</v>
      </c>
      <c r="F32" s="141"/>
      <c r="G32" s="134"/>
      <c r="H32" s="134"/>
      <c r="I32" s="134"/>
      <c r="J32" s="138">
        <f ca="1">IFERROR(__xludf.DUMMYFUNCTION("""COMPUTED_VALUE"""),2839072)</f>
        <v>2839072</v>
      </c>
      <c r="K32" s="138" t="str">
        <f ca="1">IFERROR(__xludf.DUMMYFUNCTION("""COMPUTED_VALUE"""),"General")</f>
        <v>General</v>
      </c>
      <c r="L32" s="139" t="str">
        <f ca="1">IFERROR(__xludf.DUMMYFUNCTION("""COMPUTED_VALUE"""),"How to Boost Your Creativity at Home in 10 Days")</f>
        <v>How to Boost Your Creativity at Home in 10 Days</v>
      </c>
      <c r="M32" s="141"/>
      <c r="N32" s="134"/>
      <c r="O32" s="134"/>
      <c r="P32" s="134"/>
      <c r="Q32" s="138">
        <f ca="1">IFERROR(__xludf.DUMMYFUNCTION("""COMPUTED_VALUE"""),2825339)</f>
        <v>2825339</v>
      </c>
      <c r="R32" s="138" t="str">
        <f ca="1">IFERROR(__xludf.DUMMYFUNCTION("""COMPUTED_VALUE"""),"Beginner")</f>
        <v>Beginner</v>
      </c>
      <c r="S32" s="139" t="str">
        <f ca="1">IFERROR(__xludf.DUMMYFUNCTION("""COMPUTED_VALUE"""),"Making Better Decisions by Thinking in Bets")</f>
        <v>Making Better Decisions by Thinking in Bets</v>
      </c>
      <c r="T32" s="141"/>
      <c r="U32" s="134"/>
      <c r="V32" s="134"/>
    </row>
    <row r="33" spans="1:22" ht="33.75" customHeight="1" x14ac:dyDescent="0.15">
      <c r="A33" s="134"/>
      <c r="B33" s="134"/>
      <c r="C33" s="138">
        <f ca="1">IFERROR(__xludf.DUMMYFUNCTION("""COMPUTED_VALUE"""),2815149)</f>
        <v>2815149</v>
      </c>
      <c r="D33" s="138" t="str">
        <f ca="1">IFERROR(__xludf.DUMMYFUNCTION("""COMPUTED_VALUE"""),"Beginner")</f>
        <v>Beginner</v>
      </c>
      <c r="E33" s="139" t="str">
        <f ca="1">IFERROR(__xludf.DUMMYFUNCTION("""COMPUTED_VALUE"""),"Marketing Programs that Power Customer Acquisition")</f>
        <v>Marketing Programs that Power Customer Acquisition</v>
      </c>
      <c r="F33" s="141"/>
      <c r="G33" s="134"/>
      <c r="H33" s="134"/>
      <c r="I33" s="134"/>
      <c r="J33" s="138">
        <f ca="1">IFERROR(__xludf.DUMMYFUNCTION("""COMPUTED_VALUE"""),2831007)</f>
        <v>2831007</v>
      </c>
      <c r="K33" s="138" t="str">
        <f ca="1">IFERROR(__xludf.DUMMYFUNCTION("""COMPUTED_VALUE"""),"General")</f>
        <v>General</v>
      </c>
      <c r="L33" s="139" t="str">
        <f ca="1">IFERROR(__xludf.DUMMYFUNCTION("""COMPUTED_VALUE"""),"21-Day Creative Exercise Desk Challenge")</f>
        <v>21-Day Creative Exercise Desk Challenge</v>
      </c>
      <c r="M33" s="141"/>
      <c r="N33" s="134"/>
      <c r="O33" s="134"/>
      <c r="P33" s="134"/>
      <c r="Q33" s="138">
        <f ca="1">IFERROR(__xludf.DUMMYFUNCTION("""COMPUTED_VALUE"""),2822455)</f>
        <v>2822455</v>
      </c>
      <c r="R33" s="138" t="str">
        <f ca="1">IFERROR(__xludf.DUMMYFUNCTION("""COMPUTED_VALUE"""),"Beginner")</f>
        <v>Beginner</v>
      </c>
      <c r="S33" s="139" t="str">
        <f ca="1">IFERROR(__xludf.DUMMYFUNCTION("""COMPUTED_VALUE"""),"Overcoming Cognitive Bias")</f>
        <v>Overcoming Cognitive Bias</v>
      </c>
      <c r="T33" s="141"/>
      <c r="U33" s="134"/>
      <c r="V33" s="134"/>
    </row>
    <row r="34" spans="1:22" ht="33.75" customHeight="1" x14ac:dyDescent="0.15">
      <c r="A34" s="134"/>
      <c r="B34" s="134"/>
      <c r="C34" s="138">
        <f ca="1">IFERROR(__xludf.DUMMYFUNCTION("""COMPUTED_VALUE"""),2815150)</f>
        <v>2815150</v>
      </c>
      <c r="D34" s="138" t="str">
        <f ca="1">IFERROR(__xludf.DUMMYFUNCTION("""COMPUTED_VALUE"""),"Beginner")</f>
        <v>Beginner</v>
      </c>
      <c r="E34" s="139" t="str">
        <f ca="1">IFERROR(__xludf.DUMMYFUNCTION("""COMPUTED_VALUE"""),"Creating Marketing Objectives")</f>
        <v>Creating Marketing Objectives</v>
      </c>
      <c r="F34" s="141"/>
      <c r="G34" s="134"/>
      <c r="H34" s="134"/>
      <c r="I34" s="134"/>
      <c r="J34" s="138">
        <f ca="1">IFERROR(__xludf.DUMMYFUNCTION("""COMPUTED_VALUE"""),2244040)</f>
        <v>2244040</v>
      </c>
      <c r="K34" s="138" t="str">
        <f ca="1">IFERROR(__xludf.DUMMYFUNCTION("""COMPUTED_VALUE"""),"General")</f>
        <v>General</v>
      </c>
      <c r="L34" s="139" t="str">
        <f ca="1">IFERROR(__xludf.DUMMYFUNCTION("""COMPUTED_VALUE"""),"Mapping Innovation: A Playbook for Navigating a Disruptive Age (getAbstract Summary)")</f>
        <v>Mapping Innovation: A Playbook for Navigating a Disruptive Age (getAbstract Summary)</v>
      </c>
      <c r="M34" s="141"/>
      <c r="N34" s="134"/>
      <c r="O34" s="134"/>
      <c r="P34" s="134"/>
      <c r="Q34" s="138">
        <f ca="1">IFERROR(__xludf.DUMMYFUNCTION("""COMPUTED_VALUE"""),2825480)</f>
        <v>2825480</v>
      </c>
      <c r="R34" s="138" t="str">
        <f ca="1">IFERROR(__xludf.DUMMYFUNCTION("""COMPUTED_VALUE"""),"Beginner")</f>
        <v>Beginner</v>
      </c>
      <c r="S34" s="139" t="str">
        <f ca="1">IFERROR(__xludf.DUMMYFUNCTION("""COMPUTED_VALUE"""),"Improving Your Thinking")</f>
        <v>Improving Your Thinking</v>
      </c>
      <c r="T34" s="141"/>
      <c r="U34" s="134"/>
      <c r="V34" s="134"/>
    </row>
    <row r="35" spans="1:22" ht="33.75" customHeight="1" x14ac:dyDescent="0.15">
      <c r="A35" s="134"/>
      <c r="B35" s="134"/>
      <c r="C35" s="138">
        <f ca="1">IFERROR(__xludf.DUMMYFUNCTION("""COMPUTED_VALUE"""),2816003)</f>
        <v>2816003</v>
      </c>
      <c r="D35" s="138" t="str">
        <f ca="1">IFERROR(__xludf.DUMMYFUNCTION("""COMPUTED_VALUE"""),"Beginner")</f>
        <v>Beginner</v>
      </c>
      <c r="E35" s="139" t="str">
        <f ca="1">IFERROR(__xludf.DUMMYFUNCTION("""COMPUTED_VALUE"""),"Determining Market Size for Your Product or Service")</f>
        <v>Determining Market Size for Your Product or Service</v>
      </c>
      <c r="F35" s="141"/>
      <c r="G35" s="134"/>
      <c r="H35" s="134"/>
      <c r="I35" s="134"/>
      <c r="J35" s="138">
        <f ca="1">IFERROR(__xludf.DUMMYFUNCTION("""COMPUTED_VALUE"""),2813223)</f>
        <v>2813223</v>
      </c>
      <c r="K35" s="138" t="str">
        <f ca="1">IFERROR(__xludf.DUMMYFUNCTION("""COMPUTED_VALUE"""),"General")</f>
        <v>General</v>
      </c>
      <c r="L35" s="139" t="str">
        <f ca="1">IFERROR(__xludf.DUMMYFUNCTION("""COMPUTED_VALUE"""),"Leading like a Futurist")</f>
        <v>Leading like a Futurist</v>
      </c>
      <c r="M35" s="141"/>
      <c r="N35" s="134"/>
      <c r="O35" s="134"/>
      <c r="P35" s="134"/>
      <c r="Q35" s="138">
        <f ca="1">IFERROR(__xludf.DUMMYFUNCTION("""COMPUTED_VALUE"""),2824108)</f>
        <v>2824108</v>
      </c>
      <c r="R35" s="138" t="str">
        <f ca="1">IFERROR(__xludf.DUMMYFUNCTION("""COMPUTED_VALUE"""),"Beginner + Intermediate")</f>
        <v>Beginner + Intermediate</v>
      </c>
      <c r="S35" s="139" t="str">
        <f ca="1">IFERROR(__xludf.DUMMYFUNCTION("""COMPUTED_VALUE"""),"Practical Creativity for Everyone")</f>
        <v>Practical Creativity for Everyone</v>
      </c>
      <c r="T35" s="141"/>
      <c r="U35" s="134"/>
      <c r="V35" s="134"/>
    </row>
    <row r="36" spans="1:22" ht="33.75" customHeight="1" x14ac:dyDescent="0.15">
      <c r="A36" s="134"/>
      <c r="B36" s="134"/>
      <c r="C36" s="138">
        <f ca="1">IFERROR(__xludf.DUMMYFUNCTION("""COMPUTED_VALUE"""),5035823)</f>
        <v>5035823</v>
      </c>
      <c r="D36" s="138" t="str">
        <f ca="1">IFERROR(__xludf.DUMMYFUNCTION("""COMPUTED_VALUE"""),"Beginner")</f>
        <v>Beginner</v>
      </c>
      <c r="E36" s="139" t="str">
        <f ca="1">IFERROR(__xludf.DUMMYFUNCTION("""COMPUTED_VALUE"""),"Social Media Marketing Tips")</f>
        <v>Social Media Marketing Tips</v>
      </c>
      <c r="F36" s="141"/>
      <c r="G36" s="134"/>
      <c r="H36" s="134"/>
      <c r="I36" s="134"/>
      <c r="J36" s="138">
        <f ca="1">IFERROR(__xludf.DUMMYFUNCTION("""COMPUTED_VALUE"""),2823037)</f>
        <v>2823037</v>
      </c>
      <c r="K36" s="138" t="str">
        <f ca="1">IFERROR(__xludf.DUMMYFUNCTION("""COMPUTED_VALUE"""),"General")</f>
        <v>General</v>
      </c>
      <c r="L36" s="139" t="str">
        <f ca="1">IFERROR(__xludf.DUMMYFUNCTION("""COMPUTED_VALUE"""),"Banish Your Inner Critic to Unleash Creativity")</f>
        <v>Banish Your Inner Critic to Unleash Creativity</v>
      </c>
      <c r="M36" s="141"/>
      <c r="N36" s="134"/>
      <c r="O36" s="134"/>
      <c r="P36" s="134"/>
      <c r="Q36" s="138">
        <f ca="1">IFERROR(__xludf.DUMMYFUNCTION("""COMPUTED_VALUE"""),387349)</f>
        <v>387349</v>
      </c>
      <c r="R36" s="138" t="str">
        <f ca="1">IFERROR(__xludf.DUMMYFUNCTION("""COMPUTED_VALUE"""),"Beginner + Intermediate")</f>
        <v>Beginner + Intermediate</v>
      </c>
      <c r="S36" s="139" t="str">
        <f ca="1">IFERROR(__xludf.DUMMYFUNCTION("""COMPUTED_VALUE"""),"Powerless to Powerful: Taking Control")</f>
        <v>Powerless to Powerful: Taking Control</v>
      </c>
      <c r="T36" s="141"/>
      <c r="U36" s="134"/>
      <c r="V36" s="134"/>
    </row>
    <row r="37" spans="1:22" ht="33.75" customHeight="1" x14ac:dyDescent="0.15">
      <c r="A37" s="134"/>
      <c r="B37" s="134"/>
      <c r="C37" s="138">
        <f ca="1">IFERROR(__xludf.DUMMYFUNCTION("""COMPUTED_VALUE"""),5035824)</f>
        <v>5035824</v>
      </c>
      <c r="D37" s="138" t="str">
        <f ca="1">IFERROR(__xludf.DUMMYFUNCTION("""COMPUTED_VALUE"""),"Beginner")</f>
        <v>Beginner</v>
      </c>
      <c r="E37" s="139" t="str">
        <f ca="1">IFERROR(__xludf.DUMMYFUNCTION("""COMPUTED_VALUE"""),"Marketing Tools: Social Media")</f>
        <v>Marketing Tools: Social Media</v>
      </c>
      <c r="F37" s="141"/>
      <c r="G37" s="134"/>
      <c r="H37" s="134"/>
      <c r="I37" s="134"/>
      <c r="J37" s="138">
        <f ca="1">IFERROR(__xludf.DUMMYFUNCTION("""COMPUTED_VALUE"""),2825163)</f>
        <v>2825163</v>
      </c>
      <c r="K37" s="138" t="str">
        <f ca="1">IFERROR(__xludf.DUMMYFUNCTION("""COMPUTED_VALUE"""),"General")</f>
        <v>General</v>
      </c>
      <c r="L37" s="139" t="str">
        <f ca="1">IFERROR(__xludf.DUMMYFUNCTION("""COMPUTED_VALUE"""),"Implementing Creative Feedback the Win-Win Way")</f>
        <v>Implementing Creative Feedback the Win-Win Way</v>
      </c>
      <c r="M37" s="141"/>
      <c r="N37" s="134"/>
      <c r="O37" s="134"/>
      <c r="P37" s="134"/>
      <c r="Q37" s="138">
        <f ca="1">IFERROR(__xludf.DUMMYFUNCTION("""COMPUTED_VALUE"""),753898)</f>
        <v>753898</v>
      </c>
      <c r="R37" s="138" t="str">
        <f ca="1">IFERROR(__xludf.DUMMYFUNCTION("""COMPUTED_VALUE"""),"Intermediate")</f>
        <v>Intermediate</v>
      </c>
      <c r="S37" s="139" t="str">
        <f ca="1">IFERROR(__xludf.DUMMYFUNCTION("""COMPUTED_VALUE"""),"Cultivating Mental Agility")</f>
        <v>Cultivating Mental Agility</v>
      </c>
      <c r="T37" s="141"/>
      <c r="U37" s="134"/>
      <c r="V37" s="134"/>
    </row>
    <row r="38" spans="1:22" ht="33.75" customHeight="1" x14ac:dyDescent="0.15">
      <c r="A38" s="134"/>
      <c r="B38" s="134"/>
      <c r="C38" s="138">
        <f ca="1">IFERROR(__xludf.DUMMYFUNCTION("""COMPUTED_VALUE"""),5038216)</f>
        <v>5038216</v>
      </c>
      <c r="D38" s="138" t="str">
        <f ca="1">IFERROR(__xludf.DUMMYFUNCTION("""COMPUTED_VALUE"""),"Beginner")</f>
        <v>Beginner</v>
      </c>
      <c r="E38" s="139" t="str">
        <f ca="1">IFERROR(__xludf.DUMMYFUNCTION("""COMPUTED_VALUE"""),"Marketing Foundations: Automation")</f>
        <v>Marketing Foundations: Automation</v>
      </c>
      <c r="F38" s="141"/>
      <c r="G38" s="134"/>
      <c r="H38" s="134"/>
      <c r="I38" s="134"/>
      <c r="J38" s="138">
        <f ca="1">IFERROR(__xludf.DUMMYFUNCTION("""COMPUTED_VALUE"""),2804662)</f>
        <v>2804662</v>
      </c>
      <c r="K38" s="138" t="str">
        <f ca="1">IFERROR(__xludf.DUMMYFUNCTION("""COMPUTED_VALUE"""),"General")</f>
        <v>General</v>
      </c>
      <c r="L38" s="139" t="str">
        <f ca="1">IFERROR(__xludf.DUMMYFUNCTION("""COMPUTED_VALUE"""),"Defining Your Creative Edge to Promote Your Work")</f>
        <v>Defining Your Creative Edge to Promote Your Work</v>
      </c>
      <c r="M38" s="141"/>
      <c r="N38" s="134"/>
      <c r="O38" s="134"/>
      <c r="P38" s="134"/>
      <c r="Q38" s="138">
        <f ca="1">IFERROR(__xludf.DUMMYFUNCTION("""COMPUTED_VALUE"""),373992)</f>
        <v>373992</v>
      </c>
      <c r="R38" s="138" t="str">
        <f ca="1">IFERROR(__xludf.DUMMYFUNCTION("""COMPUTED_VALUE"""),"Intermediate")</f>
        <v>Intermediate</v>
      </c>
      <c r="S38" s="139" t="str">
        <f ca="1">IFERROR(__xludf.DUMMYFUNCTION("""COMPUTED_VALUE"""),"Executive Decision-Making")</f>
        <v>Executive Decision-Making</v>
      </c>
      <c r="T38" s="141"/>
      <c r="U38" s="134"/>
      <c r="V38" s="134"/>
    </row>
    <row r="39" spans="1:22" ht="33.75" customHeight="1" x14ac:dyDescent="0.15">
      <c r="A39" s="134"/>
      <c r="B39" s="134"/>
      <c r="C39" s="138">
        <f ca="1">IFERROR(__xludf.DUMMYFUNCTION("""COMPUTED_VALUE"""),2809360)</f>
        <v>2809360</v>
      </c>
      <c r="D39" s="138" t="str">
        <f ca="1">IFERROR(__xludf.DUMMYFUNCTION("""COMPUTED_VALUE"""),"Beginner")</f>
        <v>Beginner</v>
      </c>
      <c r="E39" s="139" t="str">
        <f ca="1">IFERROR(__xludf.DUMMYFUNCTION("""COMPUTED_VALUE"""),"Advertising on Facebook")</f>
        <v>Advertising on Facebook</v>
      </c>
      <c r="F39" s="141"/>
      <c r="G39" s="134"/>
      <c r="H39" s="134"/>
      <c r="I39" s="134"/>
      <c r="J39" s="138">
        <f ca="1">IFERROR(__xludf.DUMMYFUNCTION("""COMPUTED_VALUE"""),2836030)</f>
        <v>2836030</v>
      </c>
      <c r="K39" s="138" t="str">
        <f ca="1">IFERROR(__xludf.DUMMYFUNCTION("""COMPUTED_VALUE"""),"General")</f>
        <v>General</v>
      </c>
      <c r="L39" s="139" t="str">
        <f ca="1">IFERROR(__xludf.DUMMYFUNCTION("""COMPUTED_VALUE"""),"Unlocking Creativity (Blinkist Summary)")</f>
        <v>Unlocking Creativity (Blinkist Summary)</v>
      </c>
      <c r="M39" s="141"/>
      <c r="N39" s="134"/>
      <c r="O39" s="134"/>
      <c r="P39" s="134"/>
      <c r="Q39" s="138">
        <f ca="1">IFERROR(__xludf.DUMMYFUNCTION("""COMPUTED_VALUE"""),5015863)</f>
        <v>5015863</v>
      </c>
      <c r="R39" s="138" t="str">
        <f ca="1">IFERROR(__xludf.DUMMYFUNCTION("""COMPUTED_VALUE"""),"Intermediate")</f>
        <v>Intermediate</v>
      </c>
      <c r="S39" s="139" t="str">
        <f ca="1">IFERROR(__xludf.DUMMYFUNCTION("""COMPUTED_VALUE"""),"Making Quick Decisions")</f>
        <v>Making Quick Decisions</v>
      </c>
      <c r="T39" s="141"/>
      <c r="U39" s="134"/>
      <c r="V39" s="134"/>
    </row>
    <row r="40" spans="1:22" ht="33.75" customHeight="1" x14ac:dyDescent="0.15">
      <c r="A40" s="134"/>
      <c r="B40" s="134"/>
      <c r="C40" s="138">
        <f ca="1">IFERROR(__xludf.DUMMYFUNCTION("""COMPUTED_VALUE"""),2813226)</f>
        <v>2813226</v>
      </c>
      <c r="D40" s="138" t="str">
        <f ca="1">IFERROR(__xludf.DUMMYFUNCTION("""COMPUTED_VALUE"""),"Beginner")</f>
        <v>Beginner</v>
      </c>
      <c r="E40" s="139" t="str">
        <f ca="1">IFERROR(__xludf.DUMMYFUNCTION("""COMPUTED_VALUE"""),"Content Marketing: Newsletters")</f>
        <v>Content Marketing: Newsletters</v>
      </c>
      <c r="F40" s="141"/>
      <c r="G40" s="134"/>
      <c r="H40" s="134"/>
      <c r="I40" s="134"/>
      <c r="J40" s="138">
        <f ca="1">IFERROR(__xludf.DUMMYFUNCTION("""COMPUTED_VALUE"""),2841399)</f>
        <v>2841399</v>
      </c>
      <c r="K40" s="138" t="str">
        <f ca="1">IFERROR(__xludf.DUMMYFUNCTION("""COMPUTED_VALUE"""),"General")</f>
        <v>General</v>
      </c>
      <c r="L40" s="139" t="str">
        <f ca="1">IFERROR(__xludf.DUMMYFUNCTION("""COMPUTED_VALUE"""),"Design Thinking: Understanding the Process")</f>
        <v>Design Thinking: Understanding the Process</v>
      </c>
      <c r="M40" s="141"/>
      <c r="N40" s="134"/>
      <c r="O40" s="134"/>
      <c r="P40" s="134"/>
      <c r="Q40" s="138">
        <f ca="1">IFERROR(__xludf.DUMMYFUNCTION("""COMPUTED_VALUE"""),175639)</f>
        <v>175639</v>
      </c>
      <c r="R40" s="138" t="str">
        <f ca="1">IFERROR(__xludf.DUMMYFUNCTION("""COMPUTED_VALUE"""),"Intermediate")</f>
        <v>Intermediate</v>
      </c>
      <c r="S40" s="139" t="str">
        <f ca="1">IFERROR(__xludf.DUMMYFUNCTION("""COMPUTED_VALUE"""),"Project Management: Solving Common Project Problems")</f>
        <v>Project Management: Solving Common Project Problems</v>
      </c>
      <c r="T40" s="141"/>
      <c r="U40" s="134"/>
      <c r="V40" s="134"/>
    </row>
    <row r="41" spans="1:22" ht="33.75" customHeight="1" x14ac:dyDescent="0.15">
      <c r="A41" s="134"/>
      <c r="B41" s="134"/>
      <c r="C41" s="138">
        <f ca="1">IFERROR(__xludf.DUMMYFUNCTION("""COMPUTED_VALUE"""),2814166)</f>
        <v>2814166</v>
      </c>
      <c r="D41" s="138" t="str">
        <f ca="1">IFERROR(__xludf.DUMMYFUNCTION("""COMPUTED_VALUE"""),"Beginner")</f>
        <v>Beginner</v>
      </c>
      <c r="E41" s="139" t="str">
        <f ca="1">IFERROR(__xludf.DUMMYFUNCTION("""COMPUTED_VALUE"""),"Identifying Your Target Market")</f>
        <v>Identifying Your Target Market</v>
      </c>
      <c r="F41" s="141"/>
      <c r="G41" s="134"/>
      <c r="H41" s="134"/>
      <c r="I41" s="134"/>
      <c r="J41" s="138">
        <f ca="1">IFERROR(__xludf.DUMMYFUNCTION("""COMPUTED_VALUE"""),2841547)</f>
        <v>2841547</v>
      </c>
      <c r="K41" s="138" t="str">
        <f ca="1">IFERROR(__xludf.DUMMYFUNCTION("""COMPUTED_VALUE"""),"Intermediate")</f>
        <v>Intermediate</v>
      </c>
      <c r="L41" s="139" t="str">
        <f ca="1">IFERROR(__xludf.DUMMYFUNCTION("""COMPUTED_VALUE"""),"UX Deep Dive: Remote Research")</f>
        <v>UX Deep Dive: Remote Research</v>
      </c>
      <c r="M41" s="141"/>
      <c r="N41" s="134"/>
      <c r="O41" s="134"/>
      <c r="P41" s="134"/>
      <c r="Q41" s="138">
        <f ca="1">IFERROR(__xludf.DUMMYFUNCTION("""COMPUTED_VALUE"""),685022)</f>
        <v>685022</v>
      </c>
      <c r="R41" s="138" t="str">
        <f ca="1">IFERROR(__xludf.DUMMYFUNCTION("""COMPUTED_VALUE"""),"Intermediate")</f>
        <v>Intermediate</v>
      </c>
      <c r="S41" s="139" t="str">
        <f ca="1">IFERROR(__xludf.DUMMYFUNCTION("""COMPUTED_VALUE"""),"Using Questions to Foster Critical Thinking and Curiosity")</f>
        <v>Using Questions to Foster Critical Thinking and Curiosity</v>
      </c>
      <c r="T41" s="141"/>
      <c r="U41" s="134"/>
      <c r="V41" s="134"/>
    </row>
    <row r="42" spans="1:22" ht="33.75" customHeight="1" x14ac:dyDescent="0.15">
      <c r="A42" s="134"/>
      <c r="B42" s="134"/>
      <c r="C42" s="138">
        <f ca="1">IFERROR(__xludf.DUMMYFUNCTION("""COMPUTED_VALUE"""),2815022)</f>
        <v>2815022</v>
      </c>
      <c r="D42" s="138" t="str">
        <f ca="1">IFERROR(__xludf.DUMMYFUNCTION("""COMPUTED_VALUE"""),"Beginner")</f>
        <v>Beginner</v>
      </c>
      <c r="E42" s="139" t="str">
        <f ca="1">IFERROR(__xludf.DUMMYFUNCTION("""COMPUTED_VALUE"""),"Market Research Foundations")</f>
        <v>Market Research Foundations</v>
      </c>
      <c r="F42" s="141"/>
      <c r="G42" s="134"/>
      <c r="H42" s="134"/>
      <c r="I42" s="134"/>
      <c r="J42" s="138">
        <f ca="1">IFERROR(__xludf.DUMMYFUNCTION("""COMPUTED_VALUE"""),2848248)</f>
        <v>2848248</v>
      </c>
      <c r="K42" s="138" t="str">
        <f ca="1">IFERROR(__xludf.DUMMYFUNCTION("""COMPUTED_VALUE"""),"Intermediate")</f>
        <v>Intermediate</v>
      </c>
      <c r="L42" s="139" t="str">
        <f ca="1">IFERROR(__xludf.DUMMYFUNCTION("""COMPUTED_VALUE"""),"Building and Managing Signature Products")</f>
        <v>Building and Managing Signature Products</v>
      </c>
      <c r="M42" s="141"/>
      <c r="N42" s="134"/>
      <c r="O42" s="134"/>
      <c r="P42" s="134"/>
      <c r="Q42" s="138">
        <f ca="1">IFERROR(__xludf.DUMMYFUNCTION("""COMPUTED_VALUE"""),2972405)</f>
        <v>2972405</v>
      </c>
      <c r="R42" s="138" t="str">
        <f ca="1">IFERROR(__xludf.DUMMYFUNCTION("""COMPUTED_VALUE"""),"Intermediate")</f>
        <v>Intermediate</v>
      </c>
      <c r="S42" s="139" t="str">
        <f ca="1">IFERROR(__xludf.DUMMYFUNCTION("""COMPUTED_VALUE"""),"Decision-Making in High-Stress Situations")</f>
        <v>Decision-Making in High-Stress Situations</v>
      </c>
      <c r="T42" s="141"/>
      <c r="U42" s="134"/>
      <c r="V42" s="134"/>
    </row>
    <row r="43" spans="1:22" ht="33.75" customHeight="1" x14ac:dyDescent="0.15">
      <c r="A43" s="134"/>
      <c r="B43" s="134"/>
      <c r="C43" s="138">
        <f ca="1">IFERROR(__xludf.DUMMYFUNCTION("""COMPUTED_VALUE"""),2816008)</f>
        <v>2816008</v>
      </c>
      <c r="D43" s="138" t="str">
        <f ca="1">IFERROR(__xludf.DUMMYFUNCTION("""COMPUTED_VALUE"""),"Beginner")</f>
        <v>Beginner</v>
      </c>
      <c r="E43" s="139" t="str">
        <f ca="1">IFERROR(__xludf.DUMMYFUNCTION("""COMPUTED_VALUE"""),"Social Media Marketing: ROI")</f>
        <v>Social Media Marketing: ROI</v>
      </c>
      <c r="F43" s="141"/>
      <c r="G43" s="134"/>
      <c r="H43" s="134"/>
      <c r="I43" s="134"/>
      <c r="J43" s="138">
        <f ca="1">IFERROR(__xludf.DUMMYFUNCTION("""COMPUTED_VALUE"""),2848237)</f>
        <v>2848237</v>
      </c>
      <c r="K43" s="138" t="str">
        <f ca="1">IFERROR(__xludf.DUMMYFUNCTION("""COMPUTED_VALUE"""),"Intermediate")</f>
        <v>Intermediate</v>
      </c>
      <c r="L43" s="139" t="str">
        <f ca="1">IFERROR(__xludf.DUMMYFUNCTION("""COMPUTED_VALUE"""),"Driving Innovation: A Leader's Guide to Ownership and Accountability for Creative Teams")</f>
        <v>Driving Innovation: A Leader's Guide to Ownership and Accountability for Creative Teams</v>
      </c>
      <c r="M43" s="141"/>
      <c r="N43" s="134"/>
      <c r="O43" s="134"/>
      <c r="P43" s="134"/>
      <c r="Q43" s="138"/>
      <c r="R43" s="138"/>
      <c r="S43" s="143"/>
      <c r="T43" s="141"/>
      <c r="U43" s="134"/>
      <c r="V43" s="134"/>
    </row>
    <row r="44" spans="1:22" ht="33.75" customHeight="1" x14ac:dyDescent="0.15">
      <c r="A44" s="134"/>
      <c r="B44" s="134"/>
      <c r="C44" s="138">
        <f ca="1">IFERROR(__xludf.DUMMYFUNCTION("""COMPUTED_VALUE"""),2817190)</f>
        <v>2817190</v>
      </c>
      <c r="D44" s="138" t="str">
        <f ca="1">IFERROR(__xludf.DUMMYFUNCTION("""COMPUTED_VALUE"""),"Beginner")</f>
        <v>Beginner</v>
      </c>
      <c r="E44" s="139" t="str">
        <f ca="1">IFERROR(__xludf.DUMMYFUNCTION("""COMPUTED_VALUE"""),"Marketing Foundations")</f>
        <v>Marketing Foundations</v>
      </c>
      <c r="F44" s="141"/>
      <c r="G44" s="134"/>
      <c r="H44" s="134"/>
      <c r="I44" s="134"/>
      <c r="J44" s="138">
        <f ca="1">IFERROR(__xludf.DUMMYFUNCTION("""COMPUTED_VALUE"""),136654)</f>
        <v>136654</v>
      </c>
      <c r="K44" s="138" t="str">
        <f ca="1">IFERROR(__xludf.DUMMYFUNCTION("""COMPUTED_VALUE"""),"Intermediate")</f>
        <v>Intermediate</v>
      </c>
      <c r="L44" s="139" t="str">
        <f ca="1">IFERROR(__xludf.DUMMYFUNCTION("""COMPUTED_VALUE"""),"Creativity and Learning: A Conversation with Lynda Barry")</f>
        <v>Creativity and Learning: A Conversation with Lynda Barry</v>
      </c>
      <c r="M44" s="141"/>
      <c r="N44" s="134"/>
      <c r="O44" s="134"/>
      <c r="P44" s="134"/>
      <c r="Q44" s="138"/>
      <c r="R44" s="138"/>
      <c r="S44" s="143"/>
      <c r="T44" s="141"/>
      <c r="U44" s="134"/>
      <c r="V44" s="134"/>
    </row>
    <row r="45" spans="1:22" ht="33.75" customHeight="1" x14ac:dyDescent="0.15">
      <c r="A45" s="134"/>
      <c r="B45" s="134"/>
      <c r="C45" s="138">
        <f ca="1">IFERROR(__xludf.DUMMYFUNCTION("""COMPUTED_VALUE"""),2820163)</f>
        <v>2820163</v>
      </c>
      <c r="D45" s="138" t="str">
        <f ca="1">IFERROR(__xludf.DUMMYFUNCTION("""COMPUTED_VALUE"""),"Beginner")</f>
        <v>Beginner</v>
      </c>
      <c r="E45" s="139" t="str">
        <f ca="1">IFERROR(__xludf.DUMMYFUNCTION("""COMPUTED_VALUE"""),"Shopify Ecommerce for Marketers")</f>
        <v>Shopify Ecommerce for Marketers</v>
      </c>
      <c r="F45" s="141"/>
      <c r="G45" s="134"/>
      <c r="H45" s="134"/>
      <c r="I45" s="134"/>
      <c r="J45" s="138">
        <f ca="1">IFERROR(__xludf.DUMMYFUNCTION("""COMPUTED_VALUE"""),718627)</f>
        <v>718627</v>
      </c>
      <c r="K45" s="138" t="str">
        <f ca="1">IFERROR(__xludf.DUMMYFUNCTION("""COMPUTED_VALUE"""),"Intermediate")</f>
        <v>Intermediate</v>
      </c>
      <c r="L45" s="139" t="str">
        <f ca="1">IFERROR(__xludf.DUMMYFUNCTION("""COMPUTED_VALUE"""),"Enhancing Team Innovation")</f>
        <v>Enhancing Team Innovation</v>
      </c>
      <c r="M45" s="141"/>
      <c r="N45" s="134"/>
      <c r="O45" s="134"/>
      <c r="P45" s="134"/>
      <c r="Q45" s="138"/>
      <c r="R45" s="138"/>
      <c r="S45" s="143"/>
      <c r="T45" s="141"/>
      <c r="U45" s="134"/>
      <c r="V45" s="134"/>
    </row>
    <row r="46" spans="1:22" ht="33.75" customHeight="1" x14ac:dyDescent="0.15">
      <c r="A46" s="134"/>
      <c r="B46" s="134"/>
      <c r="C46" s="138">
        <f ca="1">IFERROR(__xludf.DUMMYFUNCTION("""COMPUTED_VALUE"""),2822024)</f>
        <v>2822024</v>
      </c>
      <c r="D46" s="138" t="str">
        <f ca="1">IFERROR(__xludf.DUMMYFUNCTION("""COMPUTED_VALUE"""),"Beginner")</f>
        <v>Beginner</v>
      </c>
      <c r="E46" s="139" t="str">
        <f ca="1">IFERROR(__xludf.DUMMYFUNCTION("""COMPUTED_VALUE"""),"Learning Mailchimp")</f>
        <v>Learning Mailchimp</v>
      </c>
      <c r="F46" s="141"/>
      <c r="G46" s="134"/>
      <c r="H46" s="134"/>
      <c r="I46" s="134"/>
      <c r="J46" s="138">
        <f ca="1">IFERROR(__xludf.DUMMYFUNCTION("""COMPUTED_VALUE"""),2802464)</f>
        <v>2802464</v>
      </c>
      <c r="K46" s="138" t="str">
        <f ca="1">IFERROR(__xludf.DUMMYFUNCTION("""COMPUTED_VALUE"""),"Intermediate")</f>
        <v>Intermediate</v>
      </c>
      <c r="L46" s="139" t="str">
        <f ca="1">IFERROR(__xludf.DUMMYFUNCTION("""COMPUTED_VALUE"""),"Leaders: Make Your Teams More Agile, Creative, and United")</f>
        <v>Leaders: Make Your Teams More Agile, Creative, and United</v>
      </c>
      <c r="M46" s="141"/>
      <c r="N46" s="134"/>
      <c r="O46" s="134"/>
      <c r="P46" s="134"/>
      <c r="Q46" s="138"/>
      <c r="R46" s="138"/>
      <c r="S46" s="143"/>
      <c r="T46" s="141"/>
      <c r="U46" s="134"/>
      <c r="V46" s="134"/>
    </row>
    <row r="47" spans="1:22" ht="33.75" customHeight="1" x14ac:dyDescent="0.15">
      <c r="A47" s="134"/>
      <c r="B47" s="134"/>
      <c r="C47" s="138">
        <f ca="1">IFERROR(__xludf.DUMMYFUNCTION("""COMPUTED_VALUE"""),2822025)</f>
        <v>2822025</v>
      </c>
      <c r="D47" s="138" t="str">
        <f ca="1">IFERROR(__xludf.DUMMYFUNCTION("""COMPUTED_VALUE"""),"Beginner")</f>
        <v>Beginner</v>
      </c>
      <c r="E47" s="139" t="str">
        <f ca="1">IFERROR(__xludf.DUMMYFUNCTION("""COMPUTED_VALUE"""),"Marketing and Monetizing on YouTube")</f>
        <v>Marketing and Monetizing on YouTube</v>
      </c>
      <c r="F47" s="141"/>
      <c r="G47" s="134"/>
      <c r="H47" s="134"/>
      <c r="I47" s="134"/>
      <c r="J47" s="138">
        <f ca="1">IFERROR(__xludf.DUMMYFUNCTION("""COMPUTED_VALUE"""),492724)</f>
        <v>492724</v>
      </c>
      <c r="K47" s="138" t="str">
        <f ca="1">IFERROR(__xludf.DUMMYFUNCTION("""COMPUTED_VALUE"""),"Intermediate")</f>
        <v>Intermediate</v>
      </c>
      <c r="L47" s="139" t="str">
        <f ca="1">IFERROR(__xludf.DUMMYFUNCTION("""COMPUTED_VALUE"""),"Service Innovation")</f>
        <v>Service Innovation</v>
      </c>
      <c r="M47" s="141"/>
      <c r="N47" s="134"/>
      <c r="O47" s="134"/>
      <c r="P47" s="134"/>
      <c r="Q47" s="138"/>
      <c r="R47" s="138"/>
      <c r="S47" s="143"/>
      <c r="T47" s="141"/>
      <c r="U47" s="134"/>
      <c r="V47" s="134"/>
    </row>
    <row r="48" spans="1:22" ht="33.75" customHeight="1" x14ac:dyDescent="0.15">
      <c r="A48" s="134"/>
      <c r="B48" s="134"/>
      <c r="C48" s="138">
        <f ca="1">IFERROR(__xludf.DUMMYFUNCTION("""COMPUTED_VALUE"""),2823142)</f>
        <v>2823142</v>
      </c>
      <c r="D48" s="138" t="str">
        <f ca="1">IFERROR(__xludf.DUMMYFUNCTION("""COMPUTED_VALUE"""),"Beginner")</f>
        <v>Beginner</v>
      </c>
      <c r="E48" s="139" t="str">
        <f ca="1">IFERROR(__xludf.DUMMYFUNCTION("""COMPUTED_VALUE"""),"Content Marketing Foundations")</f>
        <v>Content Marketing Foundations</v>
      </c>
      <c r="F48" s="152"/>
      <c r="G48" s="134"/>
      <c r="H48" s="134"/>
      <c r="I48" s="134"/>
      <c r="J48" s="138">
        <f ca="1">IFERROR(__xludf.DUMMYFUNCTION("""COMPUTED_VALUE"""),685022)</f>
        <v>685022</v>
      </c>
      <c r="K48" s="138" t="str">
        <f ca="1">IFERROR(__xludf.DUMMYFUNCTION("""COMPUTED_VALUE"""),"Intermediate")</f>
        <v>Intermediate</v>
      </c>
      <c r="L48" s="153" t="str">
        <f ca="1">IFERROR(__xludf.DUMMYFUNCTION("""COMPUTED_VALUE"""),"Using Questions to Foster Critical Thinking and Curiosity")</f>
        <v>Using Questions to Foster Critical Thinking and Curiosity</v>
      </c>
      <c r="M48" s="152"/>
      <c r="N48" s="134"/>
      <c r="O48" s="134"/>
      <c r="P48" s="134"/>
      <c r="Q48" s="138"/>
      <c r="R48" s="138"/>
      <c r="S48" s="151"/>
      <c r="T48" s="152"/>
      <c r="U48" s="134"/>
      <c r="V48" s="134"/>
    </row>
    <row r="49" spans="1:22" ht="33.75" customHeight="1" x14ac:dyDescent="0.15">
      <c r="A49" s="134"/>
      <c r="B49" s="134"/>
      <c r="C49" s="138">
        <f ca="1">IFERROR(__xludf.DUMMYFUNCTION("""COMPUTED_VALUE"""),2825028)</f>
        <v>2825028</v>
      </c>
      <c r="D49" s="138" t="str">
        <f ca="1">IFERROR(__xludf.DUMMYFUNCTION("""COMPUTED_VALUE"""),"Beginner")</f>
        <v>Beginner</v>
      </c>
      <c r="E49" s="139" t="str">
        <f ca="1">IFERROR(__xludf.DUMMYFUNCTION("""COMPUTED_VALUE"""),"Learning Google AdSense")</f>
        <v>Learning Google AdSense</v>
      </c>
      <c r="F49" s="152"/>
      <c r="G49" s="134"/>
      <c r="H49" s="134"/>
      <c r="I49" s="134"/>
      <c r="J49" s="138">
        <f ca="1">IFERROR(__xludf.DUMMYFUNCTION("""COMPUTED_VALUE"""),2824253)</f>
        <v>2824253</v>
      </c>
      <c r="K49" s="138" t="str">
        <f ca="1">IFERROR(__xludf.DUMMYFUNCTION("""COMPUTED_VALUE"""),"Intermediate")</f>
        <v>Intermediate</v>
      </c>
      <c r="L49" s="153" t="str">
        <f ca="1">IFERROR(__xludf.DUMMYFUNCTION("""COMPUTED_VALUE"""),"Psychological Safety: Clear Blocks to Innovation, Collaboration, and Risk-Taking")</f>
        <v>Psychological Safety: Clear Blocks to Innovation, Collaboration, and Risk-Taking</v>
      </c>
      <c r="M49" s="152"/>
      <c r="N49" s="134"/>
      <c r="O49" s="134"/>
      <c r="P49" s="134"/>
      <c r="Q49" s="138"/>
      <c r="R49" s="138"/>
      <c r="S49" s="151"/>
      <c r="T49" s="152"/>
      <c r="U49" s="134"/>
      <c r="V49" s="134"/>
    </row>
    <row r="50" spans="1:22" ht="33.75" customHeight="1" x14ac:dyDescent="0.15">
      <c r="A50" s="134"/>
      <c r="B50" s="134"/>
      <c r="C50" s="138">
        <f ca="1">IFERROR(__xludf.DUMMYFUNCTION("""COMPUTED_VALUE"""),2825058)</f>
        <v>2825058</v>
      </c>
      <c r="D50" s="138" t="str">
        <f ca="1">IFERROR(__xludf.DUMMYFUNCTION("""COMPUTED_VALUE"""),"Beginner")</f>
        <v>Beginner</v>
      </c>
      <c r="E50" s="139" t="str">
        <f ca="1">IFERROR(__xludf.DUMMYFUNCTION("""COMPUTED_VALUE"""),"Advertising on Twitter")</f>
        <v>Advertising on Twitter</v>
      </c>
      <c r="F50" s="152"/>
      <c r="G50" s="134"/>
      <c r="H50" s="134"/>
      <c r="I50" s="134"/>
      <c r="J50" s="138">
        <f ca="1">IFERROR(__xludf.DUMMYFUNCTION("""COMPUTED_VALUE"""),2825455)</f>
        <v>2825455</v>
      </c>
      <c r="K50" s="138" t="str">
        <f ca="1">IFERROR(__xludf.DUMMYFUNCTION("""COMPUTED_VALUE"""),"Intermediate")</f>
        <v>Intermediate</v>
      </c>
      <c r="L50" s="153" t="str">
        <f ca="1">IFERROR(__xludf.DUMMYFUNCTION("""COMPUTED_VALUE"""),"Balancing Innovation and Risk")</f>
        <v>Balancing Innovation and Risk</v>
      </c>
      <c r="M50" s="152"/>
      <c r="N50" s="134"/>
      <c r="O50" s="134"/>
      <c r="P50" s="134"/>
      <c r="Q50" s="138"/>
      <c r="R50" s="138"/>
      <c r="S50" s="151"/>
      <c r="T50" s="152"/>
      <c r="U50" s="134"/>
      <c r="V50" s="134"/>
    </row>
    <row r="51" spans="1:22" ht="33.75" customHeight="1" x14ac:dyDescent="0.15">
      <c r="A51" s="134"/>
      <c r="B51" s="134"/>
      <c r="C51" s="138">
        <f ca="1">IFERROR(__xludf.DUMMYFUNCTION("""COMPUTED_VALUE"""),2825133)</f>
        <v>2825133</v>
      </c>
      <c r="D51" s="138" t="str">
        <f ca="1">IFERROR(__xludf.DUMMYFUNCTION("""COMPUTED_VALUE"""),"Beginner")</f>
        <v>Beginner</v>
      </c>
      <c r="E51" s="139" t="str">
        <f ca="1">IFERROR(__xludf.DUMMYFUNCTION("""COMPUTED_VALUE"""),"Social Media Marketing Foundations")</f>
        <v>Social Media Marketing Foundations</v>
      </c>
      <c r="F51" s="152"/>
      <c r="G51" s="134"/>
      <c r="H51" s="134"/>
      <c r="I51" s="134"/>
      <c r="J51" s="138">
        <f ca="1">IFERROR(__xludf.DUMMYFUNCTION("""COMPUTED_VALUE"""),2836022)</f>
        <v>2836022</v>
      </c>
      <c r="K51" s="138" t="str">
        <f ca="1">IFERROR(__xludf.DUMMYFUNCTION("""COMPUTED_VALUE"""),"Intermediate")</f>
        <v>Intermediate</v>
      </c>
      <c r="L51" s="153" t="str">
        <f ca="1">IFERROR(__xludf.DUMMYFUNCTION("""COMPUTED_VALUE"""),"Managing Innovation")</f>
        <v>Managing Innovation</v>
      </c>
      <c r="M51" s="152"/>
      <c r="N51" s="134"/>
      <c r="O51" s="134"/>
      <c r="P51" s="134"/>
      <c r="Q51" s="138"/>
      <c r="R51" s="138"/>
      <c r="S51" s="151"/>
      <c r="T51" s="152"/>
      <c r="U51" s="134"/>
      <c r="V51" s="134"/>
    </row>
    <row r="52" spans="1:22" ht="33.75" customHeight="1" x14ac:dyDescent="0.15">
      <c r="A52" s="134"/>
      <c r="B52" s="134"/>
      <c r="C52" s="138">
        <f ca="1">IFERROR(__xludf.DUMMYFUNCTION("""COMPUTED_VALUE"""),2825441)</f>
        <v>2825441</v>
      </c>
      <c r="D52" s="138" t="str">
        <f ca="1">IFERROR(__xludf.DUMMYFUNCTION("""COMPUTED_VALUE"""),"Beginner")</f>
        <v>Beginner</v>
      </c>
      <c r="E52" s="139" t="str">
        <f ca="1">IFERROR(__xludf.DUMMYFUNCTION("""COMPUTED_VALUE"""),"Branding Foundations")</f>
        <v>Branding Foundations</v>
      </c>
      <c r="F52" s="152"/>
      <c r="G52" s="134"/>
      <c r="H52" s="134"/>
      <c r="I52" s="134"/>
      <c r="J52" s="138">
        <f ca="1">IFERROR(__xludf.DUMMYFUNCTION("""COMPUTED_VALUE"""),2837260)</f>
        <v>2837260</v>
      </c>
      <c r="K52" s="138" t="str">
        <f ca="1">IFERROR(__xludf.DUMMYFUNCTION("""COMPUTED_VALUE"""),"Intermediate")</f>
        <v>Intermediate</v>
      </c>
      <c r="L52" s="153" t="str">
        <f ca="1">IFERROR(__xludf.DUMMYFUNCTION("""COMPUTED_VALUE"""),"The Definitive Drucker (getAbstract Summary)")</f>
        <v>The Definitive Drucker (getAbstract Summary)</v>
      </c>
      <c r="M52" s="152"/>
      <c r="N52" s="134"/>
      <c r="O52" s="134"/>
      <c r="P52" s="134"/>
      <c r="Q52" s="138"/>
      <c r="R52" s="138"/>
      <c r="S52" s="151"/>
      <c r="T52" s="152"/>
      <c r="U52" s="134"/>
      <c r="V52" s="134"/>
    </row>
    <row r="53" spans="1:22" ht="33.75" customHeight="1" x14ac:dyDescent="0.15">
      <c r="A53" s="134"/>
      <c r="B53" s="134"/>
      <c r="C53" s="138">
        <f ca="1">IFERROR(__xludf.DUMMYFUNCTION("""COMPUTED_VALUE"""),5038214)</f>
        <v>5038214</v>
      </c>
      <c r="D53" s="138" t="str">
        <f ca="1">IFERROR(__xludf.DUMMYFUNCTION("""COMPUTED_VALUE"""),"Beginner")</f>
        <v>Beginner</v>
      </c>
      <c r="E53" s="139" t="str">
        <f ca="1">IFERROR(__xludf.DUMMYFUNCTION("""COMPUTED_VALUE"""),"Marketing to Generation Z")</f>
        <v>Marketing to Generation Z</v>
      </c>
      <c r="F53" s="152"/>
      <c r="G53" s="134"/>
      <c r="H53" s="134"/>
      <c r="I53" s="134"/>
      <c r="J53" s="138"/>
      <c r="K53" s="138"/>
      <c r="L53" s="151"/>
      <c r="M53" s="152"/>
      <c r="N53" s="134"/>
      <c r="O53" s="134"/>
      <c r="P53" s="134"/>
      <c r="Q53" s="138"/>
      <c r="R53" s="138"/>
      <c r="S53" s="151"/>
      <c r="T53" s="152"/>
      <c r="U53" s="134"/>
      <c r="V53" s="134"/>
    </row>
    <row r="54" spans="1:22" ht="33.75" customHeight="1" x14ac:dyDescent="0.15">
      <c r="A54" s="134"/>
      <c r="B54" s="134"/>
      <c r="C54" s="138">
        <f ca="1">IFERROR(__xludf.DUMMYFUNCTION("""COMPUTED_VALUE"""),2822427)</f>
        <v>2822427</v>
      </c>
      <c r="D54" s="138" t="str">
        <f ca="1">IFERROR(__xludf.DUMMYFUNCTION("""COMPUTED_VALUE"""),"Beginner")</f>
        <v>Beginner</v>
      </c>
      <c r="E54" s="139" t="str">
        <f ca="1">IFERROR(__xludf.DUMMYFUNCTION("""COMPUTED_VALUE"""),"Marketing Tools: Digital Marketing")</f>
        <v>Marketing Tools: Digital Marketing</v>
      </c>
      <c r="F54" s="152"/>
      <c r="G54" s="134"/>
      <c r="H54" s="134"/>
      <c r="I54" s="134"/>
      <c r="J54" s="138"/>
      <c r="K54" s="138"/>
      <c r="L54" s="151"/>
      <c r="M54" s="152"/>
      <c r="N54" s="134"/>
      <c r="O54" s="134"/>
      <c r="P54" s="134"/>
      <c r="Q54" s="138"/>
      <c r="R54" s="138"/>
      <c r="S54" s="151"/>
      <c r="T54" s="152"/>
      <c r="U54" s="134"/>
      <c r="V54" s="134"/>
    </row>
    <row r="55" spans="1:22" ht="33.75" customHeight="1" x14ac:dyDescent="0.15">
      <c r="A55" s="134"/>
      <c r="B55" s="134"/>
      <c r="C55" s="138">
        <f ca="1">IFERROR(__xludf.DUMMYFUNCTION("""COMPUTED_VALUE"""),2822636)</f>
        <v>2822636</v>
      </c>
      <c r="D55" s="138" t="str">
        <f ca="1">IFERROR(__xludf.DUMMYFUNCTION("""COMPUTED_VALUE"""),"Beginner")</f>
        <v>Beginner</v>
      </c>
      <c r="E55" s="139" t="str">
        <f ca="1">IFERROR(__xludf.DUMMYFUNCTION("""COMPUTED_VALUE"""),"Content Marketing for Social Media")</f>
        <v>Content Marketing for Social Media</v>
      </c>
      <c r="F55" s="152"/>
      <c r="G55" s="134"/>
      <c r="H55" s="134"/>
      <c r="I55" s="134"/>
      <c r="J55" s="138"/>
      <c r="K55" s="138"/>
      <c r="L55" s="151"/>
      <c r="M55" s="152"/>
      <c r="N55" s="134"/>
      <c r="O55" s="134"/>
      <c r="P55" s="134"/>
      <c r="Q55" s="138"/>
      <c r="R55" s="138"/>
      <c r="S55" s="151"/>
      <c r="T55" s="152"/>
      <c r="U55" s="134"/>
      <c r="V55" s="134"/>
    </row>
    <row r="56" spans="1:22" ht="33.75" customHeight="1" x14ac:dyDescent="0.15">
      <c r="A56" s="134"/>
      <c r="B56" s="134"/>
      <c r="C56" s="138">
        <f ca="1">IFERROR(__xludf.DUMMYFUNCTION("""COMPUTED_VALUE"""),2823346)</f>
        <v>2823346</v>
      </c>
      <c r="D56" s="138" t="str">
        <f ca="1">IFERROR(__xludf.DUMMYFUNCTION("""COMPUTED_VALUE"""),"Beginner")</f>
        <v>Beginner</v>
      </c>
      <c r="E56" s="139" t="str">
        <f ca="1">IFERROR(__xludf.DUMMYFUNCTION("""COMPUTED_VALUE"""),"Marketing on Instagram")</f>
        <v>Marketing on Instagram</v>
      </c>
      <c r="F56" s="152"/>
      <c r="G56" s="134"/>
      <c r="H56" s="134"/>
      <c r="I56" s="134"/>
      <c r="J56" s="138"/>
      <c r="K56" s="138"/>
      <c r="L56" s="151"/>
      <c r="M56" s="152"/>
      <c r="N56" s="134"/>
      <c r="O56" s="134"/>
      <c r="P56" s="134"/>
      <c r="Q56" s="138"/>
      <c r="R56" s="138"/>
      <c r="S56" s="151"/>
      <c r="T56" s="152"/>
      <c r="U56" s="134"/>
      <c r="V56" s="134"/>
    </row>
    <row r="57" spans="1:22" ht="33.75" customHeight="1" x14ac:dyDescent="0.15">
      <c r="A57" s="134"/>
      <c r="B57" s="134"/>
      <c r="C57" s="138">
        <f ca="1">IFERROR(__xludf.DUMMYFUNCTION("""COMPUTED_VALUE"""),2823516)</f>
        <v>2823516</v>
      </c>
      <c r="D57" s="138" t="str">
        <f ca="1">IFERROR(__xludf.DUMMYFUNCTION("""COMPUTED_VALUE"""),"Beginner")</f>
        <v>Beginner</v>
      </c>
      <c r="E57" s="139" t="str">
        <f ca="1">IFERROR(__xludf.DUMMYFUNCTION("""COMPUTED_VALUE"""),"Introduction to Social Media Strategy")</f>
        <v>Introduction to Social Media Strategy</v>
      </c>
      <c r="F57" s="152"/>
      <c r="G57" s="134"/>
      <c r="H57" s="134"/>
      <c r="I57" s="134"/>
      <c r="J57" s="138"/>
      <c r="K57" s="138"/>
      <c r="L57" s="151"/>
      <c r="M57" s="152"/>
      <c r="N57" s="134"/>
      <c r="O57" s="134"/>
      <c r="P57" s="134"/>
      <c r="Q57" s="138"/>
      <c r="R57" s="138"/>
      <c r="S57" s="151"/>
      <c r="T57" s="152"/>
      <c r="U57" s="134"/>
      <c r="V57" s="134"/>
    </row>
    <row r="58" spans="1:22" ht="33.75" customHeight="1" x14ac:dyDescent="0.15">
      <c r="A58" s="134"/>
      <c r="B58" s="134"/>
      <c r="C58" s="138">
        <f ca="1">IFERROR(__xludf.DUMMYFUNCTION("""COMPUTED_VALUE"""),2822476)</f>
        <v>2822476</v>
      </c>
      <c r="D58" s="138" t="str">
        <f ca="1">IFERROR(__xludf.DUMMYFUNCTION("""COMPUTED_VALUE"""),"Beginner")</f>
        <v>Beginner</v>
      </c>
      <c r="E58" s="139" t="str">
        <f ca="1">IFERROR(__xludf.DUMMYFUNCTION("""COMPUTED_VALUE"""),"Small Business Marketing")</f>
        <v>Small Business Marketing</v>
      </c>
      <c r="F58" s="152"/>
      <c r="G58" s="134"/>
      <c r="H58" s="134"/>
      <c r="I58" s="134"/>
      <c r="J58" s="138"/>
      <c r="K58" s="138"/>
      <c r="L58" s="151"/>
      <c r="M58" s="152"/>
      <c r="N58" s="134"/>
      <c r="O58" s="134"/>
      <c r="P58" s="134"/>
      <c r="Q58" s="138"/>
      <c r="R58" s="138"/>
      <c r="S58" s="151"/>
      <c r="T58" s="152"/>
      <c r="U58" s="134"/>
      <c r="V58" s="134"/>
    </row>
    <row r="59" spans="1:22" ht="33.75" customHeight="1" x14ac:dyDescent="0.15">
      <c r="A59" s="134"/>
      <c r="B59" s="134"/>
      <c r="C59" s="138">
        <f ca="1">IFERROR(__xludf.DUMMYFUNCTION("""COMPUTED_VALUE"""),2822646)</f>
        <v>2822646</v>
      </c>
      <c r="D59" s="138" t="str">
        <f ca="1">IFERROR(__xludf.DUMMYFUNCTION("""COMPUTED_VALUE"""),"Beginner")</f>
        <v>Beginner</v>
      </c>
      <c r="E59" s="139" t="str">
        <f ca="1">IFERROR(__xludf.DUMMYFUNCTION("""COMPUTED_VALUE"""),"Marketing Tools: Automation")</f>
        <v>Marketing Tools: Automation</v>
      </c>
      <c r="F59" s="152"/>
      <c r="G59" s="134"/>
      <c r="H59" s="134"/>
      <c r="I59" s="134"/>
      <c r="J59" s="138"/>
      <c r="K59" s="138"/>
      <c r="L59" s="151"/>
      <c r="M59" s="152"/>
      <c r="N59" s="134"/>
      <c r="O59" s="134"/>
      <c r="P59" s="134"/>
      <c r="Q59" s="138"/>
      <c r="R59" s="138"/>
      <c r="S59" s="151"/>
      <c r="T59" s="152"/>
      <c r="U59" s="134"/>
      <c r="V59" s="134"/>
    </row>
    <row r="60" spans="1:22" ht="33.75" customHeight="1" x14ac:dyDescent="0.15">
      <c r="A60" s="134"/>
      <c r="B60" s="134"/>
      <c r="C60" s="138">
        <f ca="1">IFERROR(__xludf.DUMMYFUNCTION("""COMPUTED_VALUE"""),2823493)</f>
        <v>2823493</v>
      </c>
      <c r="D60" s="138" t="str">
        <f ca="1">IFERROR(__xludf.DUMMYFUNCTION("""COMPUTED_VALUE"""),"Beginner")</f>
        <v>Beginner</v>
      </c>
      <c r="E60" s="139" t="str">
        <f ca="1">IFERROR(__xludf.DUMMYFUNCTION("""COMPUTED_VALUE"""),"Marketing Analytics: Setting and Measuring KPIs")</f>
        <v>Marketing Analytics: Setting and Measuring KPIs</v>
      </c>
      <c r="F60" s="152"/>
      <c r="G60" s="134"/>
      <c r="H60" s="134"/>
      <c r="I60" s="134"/>
      <c r="J60" s="138"/>
      <c r="K60" s="138"/>
      <c r="L60" s="151"/>
      <c r="M60" s="152"/>
      <c r="N60" s="134"/>
      <c r="O60" s="134"/>
      <c r="P60" s="134"/>
      <c r="Q60" s="138"/>
      <c r="R60" s="138"/>
      <c r="S60" s="151"/>
      <c r="T60" s="152"/>
      <c r="U60" s="134"/>
      <c r="V60" s="134"/>
    </row>
    <row r="61" spans="1:22" ht="33.75" customHeight="1" x14ac:dyDescent="0.15">
      <c r="A61" s="134"/>
      <c r="B61" s="134"/>
      <c r="C61" s="138">
        <f ca="1">IFERROR(__xludf.DUMMYFUNCTION("""COMPUTED_VALUE"""),2824266)</f>
        <v>2824266</v>
      </c>
      <c r="D61" s="138" t="str">
        <f ca="1">IFERROR(__xludf.DUMMYFUNCTION("""COMPUTED_VALUE"""),"Beginner")</f>
        <v>Beginner</v>
      </c>
      <c r="E61" s="139" t="str">
        <f ca="1">IFERROR(__xludf.DUMMYFUNCTION("""COMPUTED_VALUE"""),"Building a Winning Enterprise Marketing Strategy")</f>
        <v>Building a Winning Enterprise Marketing Strategy</v>
      </c>
      <c r="F61" s="152"/>
      <c r="G61" s="134"/>
      <c r="H61" s="134"/>
      <c r="I61" s="134"/>
      <c r="J61" s="138"/>
      <c r="K61" s="138"/>
      <c r="L61" s="151"/>
      <c r="M61" s="152"/>
      <c r="N61" s="134"/>
      <c r="O61" s="134"/>
      <c r="P61" s="134"/>
      <c r="Q61" s="138"/>
      <c r="R61" s="138"/>
      <c r="S61" s="151"/>
      <c r="T61" s="152"/>
      <c r="U61" s="134"/>
      <c r="V61" s="134"/>
    </row>
    <row r="62" spans="1:22" ht="33.75" customHeight="1" x14ac:dyDescent="0.15">
      <c r="A62" s="134"/>
      <c r="B62" s="134"/>
      <c r="C62" s="138">
        <f ca="1">IFERROR(__xludf.DUMMYFUNCTION("""COMPUTED_VALUE"""),2824270)</f>
        <v>2824270</v>
      </c>
      <c r="D62" s="138" t="str">
        <f ca="1">IFERROR(__xludf.DUMMYFUNCTION("""COMPUTED_VALUE"""),"Beginner")</f>
        <v>Beginner</v>
      </c>
      <c r="E62" s="139" t="str">
        <f ca="1">IFERROR(__xludf.DUMMYFUNCTION("""COMPUTED_VALUE"""),"Marketing Foundations: Consumer Behavior")</f>
        <v>Marketing Foundations: Consumer Behavior</v>
      </c>
      <c r="F62" s="152"/>
      <c r="G62" s="134"/>
      <c r="H62" s="134"/>
      <c r="I62" s="134"/>
      <c r="J62" s="138"/>
      <c r="K62" s="138"/>
      <c r="L62" s="151"/>
      <c r="M62" s="152"/>
      <c r="N62" s="134"/>
      <c r="O62" s="134"/>
      <c r="P62" s="134"/>
      <c r="Q62" s="138"/>
      <c r="R62" s="138"/>
      <c r="S62" s="151"/>
      <c r="T62" s="152"/>
      <c r="U62" s="134"/>
      <c r="V62" s="134"/>
    </row>
    <row r="63" spans="1:22" ht="33.75" customHeight="1" x14ac:dyDescent="0.15">
      <c r="A63" s="134"/>
      <c r="B63" s="134"/>
      <c r="C63" s="138">
        <f ca="1">IFERROR(__xludf.DUMMYFUNCTION("""COMPUTED_VALUE"""),2822317)</f>
        <v>2822317</v>
      </c>
      <c r="D63" s="138" t="str">
        <f ca="1">IFERROR(__xludf.DUMMYFUNCTION("""COMPUTED_VALUE"""),"Beginner")</f>
        <v>Beginner</v>
      </c>
      <c r="E63" s="139" t="str">
        <f ca="1">IFERROR(__xludf.DUMMYFUNCTION("""COMPUTED_VALUE"""),"Creating and Managing a YouTube Channel")</f>
        <v>Creating and Managing a YouTube Channel</v>
      </c>
      <c r="F63" s="152"/>
      <c r="G63" s="134"/>
      <c r="H63" s="134"/>
      <c r="I63" s="134"/>
      <c r="J63" s="138"/>
      <c r="K63" s="138"/>
      <c r="L63" s="151"/>
      <c r="M63" s="152"/>
      <c r="N63" s="134"/>
      <c r="O63" s="134"/>
      <c r="P63" s="134"/>
      <c r="Q63" s="138"/>
      <c r="R63" s="138"/>
      <c r="S63" s="151"/>
      <c r="T63" s="152"/>
      <c r="U63" s="134"/>
      <c r="V63" s="134"/>
    </row>
    <row r="64" spans="1:22" ht="33.75" customHeight="1" x14ac:dyDescent="0.15">
      <c r="A64" s="134"/>
      <c r="B64" s="134"/>
      <c r="C64" s="138">
        <f ca="1">IFERROR(__xludf.DUMMYFUNCTION("""COMPUTED_VALUE"""),2975164)</f>
        <v>2975164</v>
      </c>
      <c r="D64" s="138" t="str">
        <f ca="1">IFERROR(__xludf.DUMMYFUNCTION("""COMPUTED_VALUE"""),"Beginner")</f>
        <v>Beginner</v>
      </c>
      <c r="E64" s="139" t="str">
        <f ca="1">IFERROR(__xludf.DUMMYFUNCTION("""COMPUTED_VALUE"""),"Streaming with LinkedIn Live")</f>
        <v>Streaming with LinkedIn Live</v>
      </c>
      <c r="F64" s="152"/>
      <c r="G64" s="134"/>
      <c r="H64" s="134"/>
      <c r="I64" s="134"/>
      <c r="J64" s="138"/>
      <c r="K64" s="138"/>
      <c r="L64" s="151"/>
      <c r="M64" s="152"/>
      <c r="N64" s="134"/>
      <c r="O64" s="134"/>
      <c r="P64" s="134"/>
      <c r="Q64" s="138"/>
      <c r="R64" s="138"/>
      <c r="S64" s="151"/>
      <c r="T64" s="152"/>
      <c r="U64" s="134"/>
      <c r="V64" s="134"/>
    </row>
    <row r="65" spans="1:22" ht="33.75" customHeight="1" x14ac:dyDescent="0.15">
      <c r="A65" s="134"/>
      <c r="B65" s="134"/>
      <c r="C65" s="138">
        <f ca="1">IFERROR(__xludf.DUMMYFUNCTION("""COMPUTED_VALUE"""),2825620)</f>
        <v>2825620</v>
      </c>
      <c r="D65" s="138" t="str">
        <f ca="1">IFERROR(__xludf.DUMMYFUNCTION("""COMPUTED_VALUE"""),"Beginner")</f>
        <v>Beginner</v>
      </c>
      <c r="E65" s="139" t="str">
        <f ca="1">IFERROR(__xludf.DUMMYFUNCTION("""COMPUTED_VALUE"""),"Business Analytics: Marketing Data")</f>
        <v>Business Analytics: Marketing Data</v>
      </c>
      <c r="F65" s="152"/>
      <c r="G65" s="134"/>
      <c r="H65" s="134"/>
      <c r="I65" s="134"/>
      <c r="J65" s="138"/>
      <c r="K65" s="138"/>
      <c r="L65" s="151"/>
      <c r="M65" s="152"/>
      <c r="N65" s="134"/>
      <c r="O65" s="134"/>
      <c r="P65" s="134"/>
      <c r="Q65" s="138"/>
      <c r="R65" s="138"/>
      <c r="S65" s="151"/>
      <c r="T65" s="152"/>
      <c r="U65" s="134"/>
      <c r="V65" s="134"/>
    </row>
    <row r="66" spans="1:22" ht="33.75" customHeight="1" x14ac:dyDescent="0.15">
      <c r="A66" s="134"/>
      <c r="B66" s="134"/>
      <c r="C66" s="138">
        <f ca="1">IFERROR(__xludf.DUMMYFUNCTION("""COMPUTED_VALUE"""),2823572)</f>
        <v>2823572</v>
      </c>
      <c r="D66" s="138" t="str">
        <f ca="1">IFERROR(__xludf.DUMMYFUNCTION("""COMPUTED_VALUE"""),"Beginner")</f>
        <v>Beginner</v>
      </c>
      <c r="E66" s="139" t="str">
        <f ca="1">IFERROR(__xludf.DUMMYFUNCTION("""COMPUTED_VALUE"""),"Creating an Editorial Calendar")</f>
        <v>Creating an Editorial Calendar</v>
      </c>
      <c r="F66" s="152"/>
      <c r="G66" s="134"/>
      <c r="H66" s="134"/>
      <c r="I66" s="134"/>
      <c r="J66" s="138"/>
      <c r="K66" s="138"/>
      <c r="L66" s="151"/>
      <c r="M66" s="152"/>
      <c r="N66" s="134"/>
      <c r="O66" s="134"/>
      <c r="P66" s="134"/>
      <c r="Q66" s="138"/>
      <c r="R66" s="138"/>
      <c r="S66" s="151"/>
      <c r="T66" s="152"/>
      <c r="U66" s="134"/>
      <c r="V66" s="134"/>
    </row>
    <row r="67" spans="1:22" ht="33.75" customHeight="1" x14ac:dyDescent="0.15">
      <c r="A67" s="134"/>
      <c r="B67" s="134"/>
      <c r="C67" s="138">
        <f ca="1">IFERROR(__xludf.DUMMYFUNCTION("""COMPUTED_VALUE"""),2822696)</f>
        <v>2822696</v>
      </c>
      <c r="D67" s="138" t="str">
        <f ca="1">IFERROR(__xludf.DUMMYFUNCTION("""COMPUTED_VALUE"""),"Beginner")</f>
        <v>Beginner</v>
      </c>
      <c r="E67" s="139" t="str">
        <f ca="1">IFERROR(__xludf.DUMMYFUNCTION("""COMPUTED_VALUE"""),"Affiliate Marketing Foundations")</f>
        <v>Affiliate Marketing Foundations</v>
      </c>
      <c r="F67" s="152"/>
      <c r="G67" s="134"/>
      <c r="H67" s="134"/>
      <c r="I67" s="134"/>
      <c r="J67" s="138"/>
      <c r="K67" s="138"/>
      <c r="L67" s="151"/>
      <c r="M67" s="152"/>
      <c r="N67" s="134"/>
      <c r="O67" s="134"/>
      <c r="P67" s="134"/>
      <c r="Q67" s="138"/>
      <c r="R67" s="138"/>
      <c r="S67" s="151"/>
      <c r="T67" s="152"/>
      <c r="U67" s="134"/>
      <c r="V67" s="134"/>
    </row>
    <row r="68" spans="1:22" ht="33.75" customHeight="1" x14ac:dyDescent="0.15">
      <c r="A68" s="134"/>
      <c r="B68" s="134"/>
      <c r="C68" s="138">
        <f ca="1">IFERROR(__xludf.DUMMYFUNCTION("""COMPUTED_VALUE"""),2823594)</f>
        <v>2823594</v>
      </c>
      <c r="D68" s="138" t="str">
        <f ca="1">IFERROR(__xludf.DUMMYFUNCTION("""COMPUTED_VALUE"""),"Beginner")</f>
        <v>Beginner</v>
      </c>
      <c r="E68" s="139" t="str">
        <f ca="1">IFERROR(__xludf.DUMMYFUNCTION("""COMPUTED_VALUE"""),"Programmatic Advertising Foundations")</f>
        <v>Programmatic Advertising Foundations</v>
      </c>
      <c r="F68" s="152"/>
      <c r="G68" s="134"/>
      <c r="H68" s="134"/>
      <c r="I68" s="134"/>
      <c r="J68" s="138"/>
      <c r="K68" s="138"/>
      <c r="L68" s="151"/>
      <c r="M68" s="152"/>
      <c r="N68" s="134"/>
      <c r="O68" s="134"/>
      <c r="P68" s="134"/>
      <c r="Q68" s="138"/>
      <c r="R68" s="138"/>
      <c r="S68" s="151"/>
      <c r="T68" s="152"/>
      <c r="U68" s="134"/>
      <c r="V68" s="134"/>
    </row>
    <row r="69" spans="1:22" ht="33.75" customHeight="1" x14ac:dyDescent="0.15">
      <c r="A69" s="134"/>
      <c r="B69" s="134"/>
      <c r="C69" s="138">
        <f ca="1">IFERROR(__xludf.DUMMYFUNCTION("""COMPUTED_VALUE"""),2825707)</f>
        <v>2825707</v>
      </c>
      <c r="D69" s="138" t="str">
        <f ca="1">IFERROR(__xludf.DUMMYFUNCTION("""COMPUTED_VALUE"""),"Beginner")</f>
        <v>Beginner</v>
      </c>
      <c r="E69" s="139" t="str">
        <f ca="1">IFERROR(__xludf.DUMMYFUNCTION("""COMPUTED_VALUE"""),"International SEO")</f>
        <v>International SEO</v>
      </c>
      <c r="F69" s="152"/>
      <c r="G69" s="134"/>
      <c r="H69" s="134"/>
      <c r="I69" s="134"/>
      <c r="J69" s="138"/>
      <c r="K69" s="138"/>
      <c r="L69" s="151"/>
      <c r="M69" s="152"/>
      <c r="N69" s="134"/>
      <c r="O69" s="134"/>
      <c r="P69" s="134"/>
      <c r="Q69" s="138"/>
      <c r="R69" s="138"/>
      <c r="S69" s="151"/>
      <c r="T69" s="152"/>
      <c r="U69" s="134"/>
      <c r="V69" s="134"/>
    </row>
    <row r="70" spans="1:22" ht="33.75" customHeight="1" x14ac:dyDescent="0.15">
      <c r="A70" s="134"/>
      <c r="B70" s="134"/>
      <c r="C70" s="138">
        <f ca="1">IFERROR(__xludf.DUMMYFUNCTION("""COMPUTED_VALUE"""),2835091)</f>
        <v>2835091</v>
      </c>
      <c r="D70" s="138" t="str">
        <f ca="1">IFERROR(__xludf.DUMMYFUNCTION("""COMPUTED_VALUE"""),"Beginner")</f>
        <v>Beginner</v>
      </c>
      <c r="E70" s="139" t="str">
        <f ca="1">IFERROR(__xludf.DUMMYFUNCTION("""COMPUTED_VALUE"""),"Marketing: Customer Segmentation")</f>
        <v>Marketing: Customer Segmentation</v>
      </c>
      <c r="F70" s="152"/>
      <c r="G70" s="134"/>
      <c r="H70" s="134"/>
      <c r="I70" s="134"/>
      <c r="J70" s="138"/>
      <c r="K70" s="138"/>
      <c r="L70" s="151"/>
      <c r="M70" s="152"/>
      <c r="N70" s="134"/>
      <c r="O70" s="134"/>
      <c r="P70" s="134"/>
      <c r="Q70" s="138"/>
      <c r="R70" s="138"/>
      <c r="S70" s="151"/>
      <c r="T70" s="152"/>
      <c r="U70" s="134"/>
      <c r="V70" s="134"/>
    </row>
    <row r="71" spans="1:22" ht="33.75" customHeight="1" x14ac:dyDescent="0.15">
      <c r="A71" s="134"/>
      <c r="B71" s="134"/>
      <c r="C71" s="138">
        <f ca="1">IFERROR(__xludf.DUMMYFUNCTION("""COMPUTED_VALUE"""),2841308)</f>
        <v>2841308</v>
      </c>
      <c r="D71" s="138" t="str">
        <f ca="1">IFERROR(__xludf.DUMMYFUNCTION("""COMPUTED_VALUE"""),"Beginner")</f>
        <v>Beginner</v>
      </c>
      <c r="E71" s="139" t="str">
        <f ca="1">IFERROR(__xludf.DUMMYFUNCTION("""COMPUTED_VALUE"""),"Marketing on Facebook")</f>
        <v>Marketing on Facebook</v>
      </c>
      <c r="F71" s="152"/>
      <c r="G71" s="134"/>
      <c r="H71" s="134"/>
      <c r="I71" s="134"/>
      <c r="J71" s="138"/>
      <c r="K71" s="138"/>
      <c r="L71" s="151"/>
      <c r="M71" s="152"/>
      <c r="N71" s="134"/>
      <c r="O71" s="134"/>
      <c r="P71" s="134"/>
      <c r="Q71" s="138"/>
      <c r="R71" s="138"/>
      <c r="S71" s="151"/>
      <c r="T71" s="152"/>
      <c r="U71" s="134"/>
      <c r="V71" s="134"/>
    </row>
    <row r="72" spans="1:22" ht="33.75" customHeight="1" x14ac:dyDescent="0.15">
      <c r="A72" s="134"/>
      <c r="B72" s="134"/>
      <c r="C72" s="138">
        <f ca="1">IFERROR(__xludf.DUMMYFUNCTION("""COMPUTED_VALUE"""),2848244)</f>
        <v>2848244</v>
      </c>
      <c r="D72" s="138" t="str">
        <f ca="1">IFERROR(__xludf.DUMMYFUNCTION("""COMPUTED_VALUE"""),"Beginner")</f>
        <v>Beginner</v>
      </c>
      <c r="E72" s="139" t="str">
        <f ca="1">IFERROR(__xludf.DUMMYFUNCTION("""COMPUTED_VALUE"""),"Creating a Buzz")</f>
        <v>Creating a Buzz</v>
      </c>
      <c r="F72" s="152"/>
      <c r="G72" s="134"/>
      <c r="H72" s="134"/>
      <c r="I72" s="134"/>
      <c r="J72" s="138"/>
      <c r="K72" s="138"/>
      <c r="L72" s="151"/>
      <c r="M72" s="152"/>
      <c r="N72" s="134"/>
      <c r="O72" s="134"/>
      <c r="P72" s="134"/>
      <c r="Q72" s="138"/>
      <c r="R72" s="138"/>
      <c r="S72" s="151"/>
      <c r="T72" s="152"/>
      <c r="U72" s="134"/>
      <c r="V72" s="134"/>
    </row>
    <row r="73" spans="1:22" ht="33.75" customHeight="1" x14ac:dyDescent="0.15">
      <c r="A73" s="134"/>
      <c r="B73" s="134"/>
      <c r="C73" s="138">
        <f ca="1">IFERROR(__xludf.DUMMYFUNCTION("""COMPUTED_VALUE"""),2871157)</f>
        <v>2871157</v>
      </c>
      <c r="D73" s="138" t="str">
        <f ca="1">IFERROR(__xludf.DUMMYFUNCTION("""COMPUTED_VALUE"""),"Beginner")</f>
        <v>Beginner</v>
      </c>
      <c r="E73" s="139" t="str">
        <f ca="1">IFERROR(__xludf.DUMMYFUNCTION("""COMPUTED_VALUE"""),"Direct Mail Marketing")</f>
        <v>Direct Mail Marketing</v>
      </c>
      <c r="F73" s="152"/>
      <c r="G73" s="134"/>
      <c r="H73" s="134"/>
      <c r="I73" s="134"/>
      <c r="J73" s="138"/>
      <c r="K73" s="138"/>
      <c r="L73" s="151"/>
      <c r="M73" s="152"/>
      <c r="N73" s="134"/>
      <c r="O73" s="134"/>
      <c r="P73" s="134"/>
      <c r="Q73" s="138"/>
      <c r="R73" s="138"/>
      <c r="S73" s="151"/>
      <c r="T73" s="152"/>
      <c r="U73" s="134"/>
      <c r="V73" s="134"/>
    </row>
    <row r="74" spans="1:22" ht="33.75" customHeight="1" x14ac:dyDescent="0.15">
      <c r="A74" s="134"/>
      <c r="B74" s="134"/>
      <c r="C74" s="138">
        <f ca="1">IFERROR(__xludf.DUMMYFUNCTION("""COMPUTED_VALUE"""),2832068)</f>
        <v>2832068</v>
      </c>
      <c r="D74" s="138" t="str">
        <f ca="1">IFERROR(__xludf.DUMMYFUNCTION("""COMPUTED_VALUE"""),"Beginner")</f>
        <v>Beginner</v>
      </c>
      <c r="E74" s="139" t="str">
        <f ca="1">IFERROR(__xludf.DUMMYFUNCTION("""COMPUTED_VALUE"""),"Developing a YouTube Strategy")</f>
        <v>Developing a YouTube Strategy</v>
      </c>
      <c r="F74" s="152"/>
      <c r="G74" s="134"/>
      <c r="H74" s="134"/>
      <c r="I74" s="134"/>
      <c r="J74" s="138"/>
      <c r="K74" s="138"/>
      <c r="L74" s="151"/>
      <c r="M74" s="152"/>
      <c r="N74" s="134"/>
      <c r="O74" s="134"/>
      <c r="P74" s="134"/>
      <c r="Q74" s="138"/>
      <c r="R74" s="138"/>
      <c r="S74" s="151"/>
      <c r="T74" s="152"/>
      <c r="U74" s="134"/>
      <c r="V74" s="134"/>
    </row>
    <row r="75" spans="1:22" ht="15" x14ac:dyDescent="0.15">
      <c r="A75" s="134"/>
      <c r="B75" s="134"/>
      <c r="C75" s="138">
        <f ca="1">IFERROR(__xludf.DUMMYFUNCTION("""COMPUTED_VALUE"""),2841614)</f>
        <v>2841614</v>
      </c>
      <c r="D75" s="138" t="str">
        <f ca="1">IFERROR(__xludf.DUMMYFUNCTION("""COMPUTED_VALUE"""),"Beginner")</f>
        <v>Beginner</v>
      </c>
      <c r="E75" s="139" t="str">
        <f ca="1">IFERROR(__xludf.DUMMYFUNCTION("""COMPUTED_VALUE"""),"Designing an Authentic Brand")</f>
        <v>Designing an Authentic Brand</v>
      </c>
      <c r="F75" s="152"/>
      <c r="G75" s="134"/>
      <c r="H75" s="134"/>
      <c r="I75" s="134"/>
      <c r="J75" s="138"/>
      <c r="K75" s="138"/>
      <c r="L75" s="151"/>
      <c r="M75" s="152"/>
      <c r="N75" s="134"/>
      <c r="O75" s="134"/>
      <c r="P75" s="134"/>
      <c r="Q75" s="138"/>
      <c r="R75" s="138"/>
      <c r="S75" s="151"/>
      <c r="T75" s="152"/>
      <c r="U75" s="134"/>
      <c r="V75" s="134"/>
    </row>
    <row r="76" spans="1:22" ht="15" x14ac:dyDescent="0.15">
      <c r="A76" s="134"/>
      <c r="B76" s="134"/>
      <c r="C76" s="138">
        <f ca="1">IFERROR(__xludf.DUMMYFUNCTION("""COMPUTED_VALUE"""),2871077)</f>
        <v>2871077</v>
      </c>
      <c r="D76" s="138" t="str">
        <f ca="1">IFERROR(__xludf.DUMMYFUNCTION("""COMPUTED_VALUE"""),"Beginner")</f>
        <v>Beginner</v>
      </c>
      <c r="E76" s="139" t="str">
        <f ca="1">IFERROR(__xludf.DUMMYFUNCTION("""COMPUTED_VALUE"""),"Marketing on Twitter")</f>
        <v>Marketing on Twitter</v>
      </c>
      <c r="F76" s="152"/>
      <c r="G76" s="134"/>
      <c r="H76" s="134"/>
      <c r="I76" s="134"/>
      <c r="J76" s="138"/>
      <c r="K76" s="138"/>
      <c r="L76" s="151"/>
      <c r="M76" s="152"/>
      <c r="N76" s="134"/>
      <c r="O76" s="134"/>
      <c r="P76" s="134"/>
      <c r="Q76" s="138"/>
      <c r="R76" s="138"/>
      <c r="S76" s="151"/>
      <c r="T76" s="152"/>
      <c r="U76" s="134"/>
      <c r="V76" s="134"/>
    </row>
    <row r="77" spans="1:22" ht="15" x14ac:dyDescent="0.15">
      <c r="A77" s="134"/>
      <c r="B77" s="134"/>
      <c r="C77" s="138">
        <f ca="1">IFERROR(__xludf.DUMMYFUNCTION("""COMPUTED_VALUE"""),2282152)</f>
        <v>2282152</v>
      </c>
      <c r="D77" s="138" t="str">
        <f ca="1">IFERROR(__xludf.DUMMYFUNCTION("""COMPUTED_VALUE"""),"Beginner")</f>
        <v>Beginner</v>
      </c>
      <c r="E77" s="139" t="str">
        <f ca="1">IFERROR(__xludf.DUMMYFUNCTION("""COMPUTED_VALUE"""),"International Marketing Foundations")</f>
        <v>International Marketing Foundations</v>
      </c>
      <c r="F77" s="152"/>
      <c r="G77" s="134"/>
      <c r="H77" s="134"/>
      <c r="I77" s="134"/>
      <c r="J77" s="138"/>
      <c r="K77" s="138"/>
      <c r="L77" s="151"/>
      <c r="M77" s="152"/>
      <c r="N77" s="134"/>
      <c r="O77" s="134"/>
      <c r="P77" s="134"/>
      <c r="Q77" s="138"/>
      <c r="R77" s="138"/>
      <c r="S77" s="151"/>
      <c r="T77" s="152"/>
      <c r="U77" s="134"/>
      <c r="V77" s="134"/>
    </row>
    <row r="78" spans="1:22" ht="15" x14ac:dyDescent="0.15">
      <c r="A78" s="134"/>
      <c r="B78" s="134"/>
      <c r="C78" s="138">
        <f ca="1">IFERROR(__xludf.DUMMYFUNCTION("""COMPUTED_VALUE"""),2841524)</f>
        <v>2841524</v>
      </c>
      <c r="D78" s="138" t="str">
        <f ca="1">IFERROR(__xludf.DUMMYFUNCTION("""COMPUTED_VALUE"""),"Beginner")</f>
        <v>Beginner</v>
      </c>
      <c r="E78" s="139" t="str">
        <f ca="1">IFERROR(__xludf.DUMMYFUNCTION("""COMPUTED_VALUE"""),"Learning Logo Design")</f>
        <v>Learning Logo Design</v>
      </c>
      <c r="F78" s="152"/>
      <c r="G78" s="134"/>
      <c r="H78" s="134"/>
      <c r="I78" s="134"/>
      <c r="J78" s="138"/>
      <c r="K78" s="138"/>
      <c r="L78" s="151"/>
      <c r="M78" s="152"/>
      <c r="N78" s="134"/>
      <c r="O78" s="134"/>
      <c r="P78" s="134"/>
      <c r="Q78" s="138"/>
      <c r="R78" s="138"/>
      <c r="S78" s="151"/>
      <c r="T78" s="152"/>
      <c r="U78" s="134"/>
      <c r="V78" s="134"/>
    </row>
    <row r="79" spans="1:22" ht="30" x14ac:dyDescent="0.15">
      <c r="A79" s="134"/>
      <c r="B79" s="134"/>
      <c r="C79" s="138">
        <f ca="1">IFERROR(__xludf.DUMMYFUNCTION("""COMPUTED_VALUE"""),2210431)</f>
        <v>2210431</v>
      </c>
      <c r="D79" s="138" t="str">
        <f ca="1">IFERROR(__xludf.DUMMYFUNCTION("""COMPUTED_VALUE"""),"Beginner + Intermediate")</f>
        <v>Beginner + Intermediate</v>
      </c>
      <c r="E79" s="139" t="str">
        <f ca="1">IFERROR(__xludf.DUMMYFUNCTION("""COMPUTED_VALUE"""),"Creating Social Content with Adobe Animate CC")</f>
        <v>Creating Social Content with Adobe Animate CC</v>
      </c>
      <c r="F79" s="152"/>
      <c r="G79" s="134"/>
      <c r="H79" s="134"/>
      <c r="I79" s="134"/>
      <c r="J79" s="138"/>
      <c r="K79" s="138"/>
      <c r="L79" s="151"/>
      <c r="M79" s="152"/>
      <c r="N79" s="134"/>
      <c r="O79" s="134"/>
      <c r="P79" s="134"/>
      <c r="Q79" s="138"/>
      <c r="R79" s="138"/>
      <c r="S79" s="151"/>
      <c r="T79" s="152"/>
      <c r="U79" s="134"/>
      <c r="V79" s="134"/>
    </row>
    <row r="80" spans="1:22" ht="30" x14ac:dyDescent="0.15">
      <c r="A80" s="134"/>
      <c r="B80" s="134"/>
      <c r="C80" s="138">
        <f ca="1">IFERROR(__xludf.DUMMYFUNCTION("""COMPUTED_VALUE"""),2824237)</f>
        <v>2824237</v>
      </c>
      <c r="D80" s="138" t="str">
        <f ca="1">IFERROR(__xludf.DUMMYFUNCTION("""COMPUTED_VALUE"""),"Beginner + Intermediate")</f>
        <v>Beginner + Intermediate</v>
      </c>
      <c r="E80" s="139" t="str">
        <f ca="1">IFERROR(__xludf.DUMMYFUNCTION("""COMPUTED_VALUE"""),"Social Media for Video Pros")</f>
        <v>Social Media for Video Pros</v>
      </c>
      <c r="F80" s="152"/>
      <c r="G80" s="134"/>
      <c r="H80" s="134"/>
      <c r="I80" s="134"/>
      <c r="J80" s="138"/>
      <c r="K80" s="138"/>
      <c r="L80" s="151"/>
      <c r="M80" s="152"/>
      <c r="N80" s="134"/>
      <c r="O80" s="134"/>
      <c r="P80" s="134"/>
      <c r="Q80" s="138"/>
      <c r="R80" s="138"/>
      <c r="S80" s="151"/>
      <c r="T80" s="152"/>
      <c r="U80" s="134"/>
      <c r="V80" s="134"/>
    </row>
    <row r="81" spans="1:22" ht="30" x14ac:dyDescent="0.15">
      <c r="A81" s="144"/>
      <c r="B81" s="144"/>
      <c r="C81" s="138">
        <f ca="1">IFERROR(__xludf.DUMMYFUNCTION("""COMPUTED_VALUE"""),471976)</f>
        <v>471976</v>
      </c>
      <c r="D81" s="138" t="str">
        <f ca="1">IFERROR(__xludf.DUMMYFUNCTION("""COMPUTED_VALUE"""),"Beginner + Intermediate")</f>
        <v>Beginner + Intermediate</v>
      </c>
      <c r="E81" s="139" t="str">
        <f ca="1">IFERROR(__xludf.DUMMYFUNCTION("""COMPUTED_VALUE"""),"Social Media Marketing for Small Business")</f>
        <v>Social Media Marketing for Small Business</v>
      </c>
      <c r="F81" s="152"/>
      <c r="G81" s="144"/>
      <c r="H81" s="144"/>
      <c r="I81" s="144"/>
      <c r="J81" s="145"/>
      <c r="K81" s="145"/>
      <c r="L81" s="154"/>
      <c r="M81" s="155"/>
      <c r="N81" s="144"/>
      <c r="O81" s="144"/>
      <c r="P81" s="144"/>
      <c r="Q81" s="145"/>
      <c r="R81" s="145"/>
      <c r="S81" s="154"/>
      <c r="T81" s="155"/>
      <c r="U81" s="144"/>
      <c r="V81" s="144"/>
    </row>
    <row r="82" spans="1:22" ht="30" x14ac:dyDescent="0.15">
      <c r="A82" s="144"/>
      <c r="B82" s="144"/>
      <c r="C82" s="138">
        <f ca="1">IFERROR(__xludf.DUMMYFUNCTION("""COMPUTED_VALUE"""),728411)</f>
        <v>728411</v>
      </c>
      <c r="D82" s="138" t="str">
        <f ca="1">IFERROR(__xludf.DUMMYFUNCTION("""COMPUTED_VALUE"""),"Beginner + Intermediate")</f>
        <v>Beginner + Intermediate</v>
      </c>
      <c r="E82" s="139" t="str">
        <f ca="1">IFERROR(__xludf.DUMMYFUNCTION("""COMPUTED_VALUE"""),"Social Media Marketing with Facebook and Twitter")</f>
        <v>Social Media Marketing with Facebook and Twitter</v>
      </c>
      <c r="F82" s="152"/>
      <c r="G82" s="144"/>
      <c r="H82" s="144"/>
      <c r="I82" s="144"/>
      <c r="J82" s="145"/>
      <c r="K82" s="145"/>
      <c r="L82" s="154"/>
      <c r="M82" s="155"/>
      <c r="N82" s="144"/>
      <c r="O82" s="144"/>
      <c r="P82" s="144"/>
      <c r="Q82" s="145"/>
      <c r="R82" s="145"/>
      <c r="S82" s="154"/>
      <c r="T82" s="155"/>
      <c r="U82" s="144"/>
      <c r="V82" s="144"/>
    </row>
    <row r="83" spans="1:22" ht="30" x14ac:dyDescent="0.15">
      <c r="A83" s="144"/>
      <c r="B83" s="144"/>
      <c r="C83" s="138">
        <f ca="1">IFERROR(__xludf.DUMMYFUNCTION("""COMPUTED_VALUE"""),2811353)</f>
        <v>2811353</v>
      </c>
      <c r="D83" s="138" t="str">
        <f ca="1">IFERROR(__xludf.DUMMYFUNCTION("""COMPUTED_VALUE"""),"Beginner + Intermediate")</f>
        <v>Beginner + Intermediate</v>
      </c>
      <c r="E83" s="139" t="str">
        <f ca="1">IFERROR(__xludf.DUMMYFUNCTION("""COMPUTED_VALUE"""),"Marketing on Twitter")</f>
        <v>Marketing on Twitter</v>
      </c>
      <c r="F83" s="152"/>
      <c r="G83" s="144"/>
      <c r="H83" s="144"/>
      <c r="I83" s="144"/>
      <c r="J83" s="145"/>
      <c r="K83" s="145"/>
      <c r="L83" s="154"/>
      <c r="M83" s="155"/>
      <c r="N83" s="144"/>
      <c r="O83" s="144"/>
      <c r="P83" s="144"/>
      <c r="Q83" s="145"/>
      <c r="R83" s="145"/>
      <c r="S83" s="154"/>
      <c r="T83" s="155"/>
      <c r="U83" s="144"/>
      <c r="V83" s="144"/>
    </row>
    <row r="84" spans="1:22" ht="15" x14ac:dyDescent="0.15">
      <c r="A84" s="144"/>
      <c r="B84" s="144"/>
      <c r="C84" s="138">
        <f ca="1">IFERROR(__xludf.DUMMYFUNCTION("""COMPUTED_VALUE"""),2818028)</f>
        <v>2818028</v>
      </c>
      <c r="D84" s="138" t="str">
        <f ca="1">IFERROR(__xludf.DUMMYFUNCTION("""COMPUTED_VALUE"""),"General")</f>
        <v>General</v>
      </c>
      <c r="E84" s="139" t="str">
        <f ca="1">IFERROR(__xludf.DUMMYFUNCTION("""COMPUTED_VALUE"""),"Introduction to Content Marketing")</f>
        <v>Introduction to Content Marketing</v>
      </c>
      <c r="F84" s="152"/>
      <c r="G84" s="144"/>
      <c r="H84" s="144"/>
      <c r="I84" s="144"/>
      <c r="J84" s="145"/>
      <c r="K84" s="145"/>
      <c r="L84" s="154"/>
      <c r="M84" s="155"/>
      <c r="N84" s="144"/>
      <c r="O84" s="144"/>
      <c r="P84" s="144"/>
      <c r="Q84" s="145"/>
      <c r="R84" s="145"/>
      <c r="S84" s="154"/>
      <c r="T84" s="155"/>
      <c r="U84" s="144"/>
      <c r="V84" s="144"/>
    </row>
    <row r="85" spans="1:22" ht="15" x14ac:dyDescent="0.15">
      <c r="A85" s="144"/>
      <c r="B85" s="144"/>
      <c r="C85" s="138">
        <f ca="1">IFERROR(__xludf.DUMMYFUNCTION("""COMPUTED_VALUE"""),2838111)</f>
        <v>2838111</v>
      </c>
      <c r="D85" s="138" t="str">
        <f ca="1">IFERROR(__xludf.DUMMYFUNCTION("""COMPUTED_VALUE"""),"General")</f>
        <v>General</v>
      </c>
      <c r="E85" s="139" t="str">
        <f ca="1">IFERROR(__xludf.DUMMYFUNCTION("""COMPUTED_VALUE"""),"Marketing During a Crisis")</f>
        <v>Marketing During a Crisis</v>
      </c>
      <c r="F85" s="152"/>
      <c r="G85" s="144"/>
      <c r="H85" s="144"/>
      <c r="I85" s="144"/>
      <c r="J85" s="145"/>
      <c r="K85" s="145"/>
      <c r="L85" s="154"/>
      <c r="M85" s="155"/>
      <c r="N85" s="144"/>
      <c r="O85" s="144"/>
      <c r="P85" s="144"/>
      <c r="Q85" s="145"/>
      <c r="R85" s="145"/>
      <c r="S85" s="154"/>
      <c r="T85" s="155"/>
      <c r="U85" s="144"/>
      <c r="V85" s="144"/>
    </row>
    <row r="86" spans="1:22" ht="15" x14ac:dyDescent="0.15">
      <c r="A86" s="144"/>
      <c r="B86" s="144"/>
      <c r="C86" s="138">
        <f ca="1">IFERROR(__xludf.DUMMYFUNCTION("""COMPUTED_VALUE"""),2841621)</f>
        <v>2841621</v>
      </c>
      <c r="D86" s="138" t="str">
        <f ca="1">IFERROR(__xludf.DUMMYFUNCTION("""COMPUTED_VALUE"""),"General")</f>
        <v>General</v>
      </c>
      <c r="E86" s="139" t="str">
        <f ca="1">IFERROR(__xludf.DUMMYFUNCTION("""COMPUTED_VALUE"""),"Marketing Virtual Events")</f>
        <v>Marketing Virtual Events</v>
      </c>
      <c r="F86" s="152"/>
      <c r="G86" s="144"/>
      <c r="H86" s="144"/>
      <c r="I86" s="144"/>
      <c r="J86" s="145"/>
      <c r="K86" s="145"/>
      <c r="L86" s="154"/>
      <c r="M86" s="155"/>
      <c r="N86" s="144"/>
      <c r="O86" s="144"/>
      <c r="P86" s="144"/>
      <c r="Q86" s="145"/>
      <c r="R86" s="145"/>
      <c r="S86" s="154"/>
      <c r="T86" s="155"/>
      <c r="U86" s="144"/>
      <c r="V86" s="144"/>
    </row>
    <row r="87" spans="1:22" ht="15" x14ac:dyDescent="0.15">
      <c r="A87" s="144"/>
      <c r="B87" s="144"/>
      <c r="C87" s="138">
        <f ca="1">IFERROR(__xludf.DUMMYFUNCTION("""COMPUTED_VALUE"""),2849004)</f>
        <v>2849004</v>
      </c>
      <c r="D87" s="138" t="str">
        <f ca="1">IFERROR(__xludf.DUMMYFUNCTION("""COMPUTED_VALUE"""),"General")</f>
        <v>General</v>
      </c>
      <c r="E87" s="139" t="str">
        <f ca="1">IFERROR(__xludf.DUMMYFUNCTION("""COMPUTED_VALUE"""),"SEO: Ecommerce Strategies")</f>
        <v>SEO: Ecommerce Strategies</v>
      </c>
      <c r="F87" s="152"/>
      <c r="G87" s="144"/>
      <c r="H87" s="144"/>
      <c r="I87" s="144"/>
      <c r="J87" s="145"/>
      <c r="K87" s="145"/>
      <c r="L87" s="154"/>
      <c r="M87" s="155"/>
      <c r="N87" s="144"/>
      <c r="O87" s="144"/>
      <c r="P87" s="144"/>
      <c r="Q87" s="145"/>
      <c r="R87" s="145"/>
      <c r="S87" s="154"/>
      <c r="T87" s="155"/>
      <c r="U87" s="144"/>
      <c r="V87" s="144"/>
    </row>
    <row r="88" spans="1:22" ht="30" x14ac:dyDescent="0.15">
      <c r="A88" s="144"/>
      <c r="B88" s="144"/>
      <c r="C88" s="138">
        <f ca="1">IFERROR(__xludf.DUMMYFUNCTION("""COMPUTED_VALUE"""),2849195)</f>
        <v>2849195</v>
      </c>
      <c r="D88" s="138" t="str">
        <f ca="1">IFERROR(__xludf.DUMMYFUNCTION("""COMPUTED_VALUE"""),"General")</f>
        <v>General</v>
      </c>
      <c r="E88" s="139" t="str">
        <f ca="1">IFERROR(__xludf.DUMMYFUNCTION("""COMPUTED_VALUE"""),"How to Tell Stories That Win Market Share")</f>
        <v>How to Tell Stories That Win Market Share</v>
      </c>
      <c r="F88" s="152"/>
      <c r="G88" s="144"/>
      <c r="H88" s="144"/>
      <c r="I88" s="144"/>
      <c r="J88" s="145"/>
      <c r="K88" s="145"/>
      <c r="L88" s="154"/>
      <c r="M88" s="155"/>
      <c r="N88" s="144"/>
      <c r="O88" s="144"/>
      <c r="P88" s="144"/>
      <c r="Q88" s="145"/>
      <c r="R88" s="145"/>
      <c r="S88" s="154"/>
      <c r="T88" s="155"/>
      <c r="U88" s="144"/>
      <c r="V88" s="144"/>
    </row>
    <row r="89" spans="1:22" ht="30" x14ac:dyDescent="0.15">
      <c r="A89" s="144"/>
      <c r="B89" s="144"/>
      <c r="C89" s="138">
        <f ca="1">IFERROR(__xludf.DUMMYFUNCTION("""COMPUTED_VALUE"""),2871132)</f>
        <v>2871132</v>
      </c>
      <c r="D89" s="138" t="str">
        <f ca="1">IFERROR(__xludf.DUMMYFUNCTION("""COMPUTED_VALUE"""),"General")</f>
        <v>General</v>
      </c>
      <c r="E89" s="139" t="str">
        <f ca="1">IFERROR(__xludf.DUMMYFUNCTION("""COMPUTED_VALUE"""),"The 22 Immutable Laws of Branding (Blinkist Summary)")</f>
        <v>The 22 Immutable Laws of Branding (Blinkist Summary)</v>
      </c>
      <c r="F89" s="152"/>
      <c r="G89" s="144"/>
      <c r="H89" s="144"/>
      <c r="I89" s="144"/>
      <c r="J89" s="145"/>
      <c r="K89" s="145"/>
      <c r="L89" s="154"/>
      <c r="M89" s="155"/>
      <c r="N89" s="144"/>
      <c r="O89" s="144"/>
      <c r="P89" s="144"/>
      <c r="Q89" s="145"/>
      <c r="R89" s="145"/>
      <c r="S89" s="154"/>
      <c r="T89" s="155"/>
      <c r="U89" s="144"/>
      <c r="V89" s="144"/>
    </row>
    <row r="90" spans="1:22" ht="15" x14ac:dyDescent="0.15">
      <c r="A90" s="144"/>
      <c r="B90" s="144"/>
      <c r="C90" s="138">
        <f ca="1">IFERROR(__xludf.DUMMYFUNCTION("""COMPUTED_VALUE"""),2836033)</f>
        <v>2836033</v>
      </c>
      <c r="D90" s="138" t="str">
        <f ca="1">IFERROR(__xludf.DUMMYFUNCTION("""COMPUTED_VALUE"""),"General")</f>
        <v>General</v>
      </c>
      <c r="E90" s="139" t="str">
        <f ca="1">IFERROR(__xludf.DUMMYFUNCTION("""COMPUTED_VALUE"""),"Disruptive Branding (Blinkist Summary)")</f>
        <v>Disruptive Branding (Blinkist Summary)</v>
      </c>
      <c r="F90" s="152"/>
      <c r="G90" s="144"/>
      <c r="H90" s="144"/>
      <c r="I90" s="144"/>
      <c r="J90" s="145"/>
      <c r="K90" s="145"/>
      <c r="L90" s="154"/>
      <c r="M90" s="155"/>
      <c r="N90" s="144"/>
      <c r="O90" s="144"/>
      <c r="P90" s="144"/>
      <c r="Q90" s="145"/>
      <c r="R90" s="145"/>
      <c r="S90" s="154"/>
      <c r="T90" s="155"/>
      <c r="U90" s="144"/>
      <c r="V90" s="144"/>
    </row>
    <row r="91" spans="1:22" ht="15" x14ac:dyDescent="0.15">
      <c r="A91" s="144"/>
      <c r="B91" s="144"/>
      <c r="C91" s="138">
        <f ca="1">IFERROR(__xludf.DUMMYFUNCTION("""COMPUTED_VALUE"""),2870045)</f>
        <v>2870045</v>
      </c>
      <c r="D91" s="138" t="str">
        <f ca="1">IFERROR(__xludf.DUMMYFUNCTION("""COMPUTED_VALUE"""),"General")</f>
        <v>General</v>
      </c>
      <c r="E91" s="139" t="str">
        <f ca="1">IFERROR(__xludf.DUMMYFUNCTION("""COMPUTED_VALUE"""),"Artificial Intelligence for Marketing")</f>
        <v>Artificial Intelligence for Marketing</v>
      </c>
      <c r="F91" s="152"/>
      <c r="G91" s="144"/>
      <c r="H91" s="144"/>
      <c r="I91" s="144"/>
      <c r="J91" s="145"/>
      <c r="K91" s="145"/>
      <c r="L91" s="154"/>
      <c r="M91" s="155"/>
      <c r="N91" s="144"/>
      <c r="O91" s="144"/>
      <c r="P91" s="144"/>
      <c r="Q91" s="145"/>
      <c r="R91" s="145"/>
      <c r="S91" s="154"/>
      <c r="T91" s="155"/>
      <c r="U91" s="144"/>
      <c r="V91" s="144"/>
    </row>
    <row r="92" spans="1:22" ht="15" x14ac:dyDescent="0.15">
      <c r="A92" s="144"/>
      <c r="B92" s="144"/>
      <c r="C92" s="138">
        <f ca="1">IFERROR(__xludf.DUMMYFUNCTION("""COMPUTED_VALUE"""),2834035)</f>
        <v>2834035</v>
      </c>
      <c r="D92" s="138" t="str">
        <f ca="1">IFERROR(__xludf.DUMMYFUNCTION("""COMPUTED_VALUE"""),"Intermediate")</f>
        <v>Intermediate</v>
      </c>
      <c r="E92" s="139" t="str">
        <f ca="1">IFERROR(__xludf.DUMMYFUNCTION("""COMPUTED_VALUE"""),"Social Media Marketing Trends")</f>
        <v>Social Media Marketing Trends</v>
      </c>
      <c r="F92" s="152"/>
      <c r="G92" s="144"/>
      <c r="H92" s="144"/>
      <c r="I92" s="144"/>
      <c r="J92" s="145"/>
      <c r="K92" s="145"/>
      <c r="L92" s="154"/>
      <c r="M92" s="155"/>
      <c r="N92" s="144"/>
      <c r="O92" s="144"/>
      <c r="P92" s="144"/>
      <c r="Q92" s="145"/>
      <c r="R92" s="145"/>
      <c r="S92" s="154"/>
      <c r="T92" s="155"/>
      <c r="U92" s="144"/>
      <c r="V92" s="144"/>
    </row>
    <row r="93" spans="1:22" ht="15" x14ac:dyDescent="0.15">
      <c r="A93" s="144"/>
      <c r="B93" s="144"/>
      <c r="C93" s="138">
        <f ca="1">IFERROR(__xludf.DUMMYFUNCTION("""COMPUTED_VALUE"""),656809)</f>
        <v>656809</v>
      </c>
      <c r="D93" s="138" t="str">
        <f ca="1">IFERROR(__xludf.DUMMYFUNCTION("""COMPUTED_VALUE"""),"Intermediate")</f>
        <v>Intermediate</v>
      </c>
      <c r="E93" s="139" t="str">
        <f ca="1">IFERROR(__xludf.DUMMYFUNCTION("""COMPUTED_VALUE"""),"B2B Marketing Foundations: Positioning")</f>
        <v>B2B Marketing Foundations: Positioning</v>
      </c>
      <c r="F93" s="152"/>
      <c r="G93" s="144"/>
      <c r="H93" s="144"/>
      <c r="I93" s="144"/>
      <c r="J93" s="145"/>
      <c r="K93" s="145"/>
      <c r="L93" s="154"/>
      <c r="M93" s="155"/>
      <c r="N93" s="144"/>
      <c r="O93" s="144"/>
      <c r="P93" s="144"/>
      <c r="Q93" s="145"/>
      <c r="R93" s="145"/>
      <c r="S93" s="154"/>
      <c r="T93" s="155"/>
      <c r="U93" s="144"/>
      <c r="V93" s="144"/>
    </row>
    <row r="94" spans="1:22" ht="30" x14ac:dyDescent="0.15">
      <c r="A94" s="144"/>
      <c r="B94" s="144"/>
      <c r="C94" s="138">
        <f ca="1">IFERROR(__xludf.DUMMYFUNCTION("""COMPUTED_VALUE"""),437279)</f>
        <v>437279</v>
      </c>
      <c r="D94" s="138" t="str">
        <f ca="1">IFERROR(__xludf.DUMMYFUNCTION("""COMPUTED_VALUE"""),"Intermediate")</f>
        <v>Intermediate</v>
      </c>
      <c r="E94" s="139" t="str">
        <f ca="1">IFERROR(__xludf.DUMMYFUNCTION("""COMPUTED_VALUE"""),"Building Your Marketing Technology Stack")</f>
        <v>Building Your Marketing Technology Stack</v>
      </c>
      <c r="F94" s="152"/>
      <c r="G94" s="144"/>
      <c r="H94" s="144"/>
      <c r="I94" s="144"/>
      <c r="J94" s="145"/>
      <c r="K94" s="145"/>
      <c r="L94" s="154"/>
      <c r="M94" s="155"/>
      <c r="N94" s="144"/>
      <c r="O94" s="144"/>
      <c r="P94" s="144"/>
      <c r="Q94" s="145"/>
      <c r="R94" s="145"/>
      <c r="S94" s="154"/>
      <c r="T94" s="155"/>
      <c r="U94" s="144"/>
      <c r="V94" s="144"/>
    </row>
    <row r="95" spans="1:22" ht="15" x14ac:dyDescent="0.15">
      <c r="A95" s="144"/>
      <c r="B95" s="144"/>
      <c r="C95" s="138">
        <f ca="1">IFERROR(__xludf.DUMMYFUNCTION("""COMPUTED_VALUE"""),514231)</f>
        <v>514231</v>
      </c>
      <c r="D95" s="138" t="str">
        <f ca="1">IFERROR(__xludf.DUMMYFUNCTION("""COMPUTED_VALUE"""),"Intermediate")</f>
        <v>Intermediate</v>
      </c>
      <c r="E95" s="139" t="str">
        <f ca="1">IFERROR(__xludf.DUMMYFUNCTION("""COMPUTED_VALUE"""),"Social Media Marketing: Social CRM")</f>
        <v>Social Media Marketing: Social CRM</v>
      </c>
      <c r="F95" s="152"/>
      <c r="G95" s="144"/>
      <c r="H95" s="144"/>
      <c r="I95" s="144"/>
      <c r="J95" s="145"/>
      <c r="K95" s="145"/>
      <c r="L95" s="154"/>
      <c r="M95" s="155"/>
      <c r="N95" s="144"/>
      <c r="O95" s="144"/>
      <c r="P95" s="144"/>
      <c r="Q95" s="145"/>
      <c r="R95" s="145"/>
      <c r="S95" s="154"/>
      <c r="T95" s="155"/>
      <c r="U95" s="144"/>
      <c r="V95" s="144"/>
    </row>
    <row r="96" spans="1:22" ht="15" x14ac:dyDescent="0.15">
      <c r="A96" s="144"/>
      <c r="B96" s="144"/>
      <c r="C96" s="138">
        <f ca="1">IFERROR(__xludf.DUMMYFUNCTION("""COMPUTED_VALUE"""),533306)</f>
        <v>533306</v>
      </c>
      <c r="D96" s="138" t="str">
        <f ca="1">IFERROR(__xludf.DUMMYFUNCTION("""COMPUTED_VALUE"""),"Intermediate")</f>
        <v>Intermediate</v>
      </c>
      <c r="E96" s="139" t="str">
        <f ca="1">IFERROR(__xludf.DUMMYFUNCTION("""COMPUTED_VALUE"""),"The Data Science of Marketing")</f>
        <v>The Data Science of Marketing</v>
      </c>
      <c r="F96" s="152"/>
      <c r="G96" s="144"/>
      <c r="H96" s="144"/>
      <c r="I96" s="144"/>
      <c r="J96" s="145"/>
      <c r="K96" s="145"/>
      <c r="L96" s="154"/>
      <c r="M96" s="155"/>
      <c r="N96" s="144"/>
      <c r="O96" s="144"/>
      <c r="P96" s="144"/>
      <c r="Q96" s="145"/>
      <c r="R96" s="145"/>
      <c r="S96" s="154"/>
      <c r="T96" s="155"/>
      <c r="U96" s="144"/>
      <c r="V96" s="144"/>
    </row>
    <row r="97" spans="1:22" ht="15" x14ac:dyDescent="0.15">
      <c r="A97" s="144"/>
      <c r="B97" s="144"/>
      <c r="C97" s="138">
        <f ca="1">IFERROR(__xludf.DUMMYFUNCTION("""COMPUTED_VALUE"""),2808548)</f>
        <v>2808548</v>
      </c>
      <c r="D97" s="138" t="str">
        <f ca="1">IFERROR(__xludf.DUMMYFUNCTION("""COMPUTED_VALUE"""),"Intermediate")</f>
        <v>Intermediate</v>
      </c>
      <c r="E97" s="139" t="str">
        <f ca="1">IFERROR(__xludf.DUMMYFUNCTION("""COMPUTED_VALUE"""),"Advertising on Pinterest")</f>
        <v>Advertising on Pinterest</v>
      </c>
      <c r="F97" s="152"/>
      <c r="G97" s="144"/>
      <c r="H97" s="144"/>
      <c r="I97" s="144"/>
      <c r="J97" s="145"/>
      <c r="K97" s="145"/>
      <c r="L97" s="154"/>
      <c r="M97" s="155"/>
      <c r="N97" s="144"/>
      <c r="O97" s="144"/>
      <c r="P97" s="144"/>
      <c r="Q97" s="145"/>
      <c r="R97" s="145"/>
      <c r="S97" s="154"/>
      <c r="T97" s="155"/>
      <c r="U97" s="144"/>
      <c r="V97" s="144"/>
    </row>
    <row r="98" spans="1:22" ht="15" x14ac:dyDescent="0.15">
      <c r="A98" s="144"/>
      <c r="B98" s="144"/>
      <c r="C98" s="138">
        <f ca="1">IFERROR(__xludf.DUMMYFUNCTION("""COMPUTED_VALUE"""),2808550)</f>
        <v>2808550</v>
      </c>
      <c r="D98" s="138" t="str">
        <f ca="1">IFERROR(__xludf.DUMMYFUNCTION("""COMPUTED_VALUE"""),"Intermediate")</f>
        <v>Intermediate</v>
      </c>
      <c r="E98" s="139" t="str">
        <f ca="1">IFERROR(__xludf.DUMMYFUNCTION("""COMPUTED_VALUE"""),"Advertising on YouTube")</f>
        <v>Advertising on YouTube</v>
      </c>
      <c r="F98" s="152"/>
      <c r="G98" s="144"/>
      <c r="H98" s="144"/>
      <c r="I98" s="144"/>
      <c r="J98" s="145"/>
      <c r="K98" s="145"/>
      <c r="L98" s="154"/>
      <c r="M98" s="155"/>
      <c r="N98" s="144"/>
      <c r="O98" s="144"/>
      <c r="P98" s="144"/>
      <c r="Q98" s="145"/>
      <c r="R98" s="145"/>
      <c r="S98" s="154"/>
      <c r="T98" s="155"/>
      <c r="U98" s="144"/>
      <c r="V98" s="144"/>
    </row>
    <row r="99" spans="1:22" ht="30" x14ac:dyDescent="0.15">
      <c r="A99" s="144"/>
      <c r="B99" s="144"/>
      <c r="C99" s="138">
        <f ca="1">IFERROR(__xludf.DUMMYFUNCTION("""COMPUTED_VALUE"""),2849196)</f>
        <v>2849196</v>
      </c>
      <c r="D99" s="138" t="str">
        <f ca="1">IFERROR(__xludf.DUMMYFUNCTION("""COMPUTED_VALUE"""),"Intermediate")</f>
        <v>Intermediate</v>
      </c>
      <c r="E99" s="139" t="str">
        <f ca="1">IFERROR(__xludf.DUMMYFUNCTION("""COMPUTED_VALUE"""),"Master the Strategies, Methods, and Metrics of Champion Marketers")</f>
        <v>Master the Strategies, Methods, and Metrics of Champion Marketers</v>
      </c>
      <c r="F99" s="152"/>
      <c r="G99" s="144"/>
      <c r="H99" s="144"/>
      <c r="I99" s="144"/>
      <c r="J99" s="145"/>
      <c r="K99" s="145"/>
      <c r="L99" s="154"/>
      <c r="M99" s="155"/>
      <c r="N99" s="144"/>
      <c r="O99" s="144"/>
      <c r="P99" s="144"/>
      <c r="Q99" s="145"/>
      <c r="R99" s="145"/>
      <c r="S99" s="154"/>
      <c r="T99" s="155"/>
      <c r="U99" s="144"/>
      <c r="V99" s="144"/>
    </row>
    <row r="100" spans="1:22" ht="30" x14ac:dyDescent="0.15">
      <c r="A100" s="144"/>
      <c r="B100" s="144"/>
      <c r="C100" s="138">
        <f ca="1">IFERROR(__xludf.DUMMYFUNCTION("""COMPUTED_VALUE"""),2848248)</f>
        <v>2848248</v>
      </c>
      <c r="D100" s="138" t="str">
        <f ca="1">IFERROR(__xludf.DUMMYFUNCTION("""COMPUTED_VALUE"""),"Intermediate")</f>
        <v>Intermediate</v>
      </c>
      <c r="E100" s="139" t="str">
        <f ca="1">IFERROR(__xludf.DUMMYFUNCTION("""COMPUTED_VALUE"""),"Building and Managing Signature Products")</f>
        <v>Building and Managing Signature Products</v>
      </c>
      <c r="F100" s="152"/>
      <c r="G100" s="144"/>
      <c r="H100" s="144"/>
      <c r="I100" s="144"/>
      <c r="J100" s="145"/>
      <c r="K100" s="145"/>
      <c r="L100" s="154"/>
      <c r="M100" s="155"/>
      <c r="N100" s="144"/>
      <c r="O100" s="144"/>
      <c r="P100" s="144"/>
      <c r="Q100" s="145"/>
      <c r="R100" s="145"/>
      <c r="S100" s="154"/>
      <c r="T100" s="155"/>
      <c r="U100" s="144"/>
      <c r="V100" s="144"/>
    </row>
    <row r="101" spans="1:22" ht="30" x14ac:dyDescent="0.15">
      <c r="A101" s="144"/>
      <c r="B101" s="144"/>
      <c r="C101" s="138">
        <f ca="1">IFERROR(__xludf.DUMMYFUNCTION("""COMPUTED_VALUE"""),2849044)</f>
        <v>2849044</v>
      </c>
      <c r="D101" s="138" t="str">
        <f ca="1">IFERROR(__xludf.DUMMYFUNCTION("""COMPUTED_VALUE"""),"Intermediate")</f>
        <v>Intermediate</v>
      </c>
      <c r="E101" s="139" t="str">
        <f ca="1">IFERROR(__xludf.DUMMYFUNCTION("""COMPUTED_VALUE"""),"Social Media Monitoring: Strategies and Skills")</f>
        <v>Social Media Monitoring: Strategies and Skills</v>
      </c>
      <c r="F101" s="152"/>
      <c r="G101" s="144"/>
      <c r="H101" s="144"/>
      <c r="I101" s="144"/>
      <c r="J101" s="145"/>
      <c r="K101" s="145"/>
      <c r="L101" s="154"/>
      <c r="M101" s="155"/>
      <c r="N101" s="144"/>
      <c r="O101" s="144"/>
      <c r="P101" s="144"/>
      <c r="Q101" s="145"/>
      <c r="R101" s="145"/>
      <c r="S101" s="154"/>
      <c r="T101" s="155"/>
      <c r="U101" s="144"/>
      <c r="V101" s="144"/>
    </row>
    <row r="102" spans="1:22" ht="15" x14ac:dyDescent="0.15">
      <c r="A102" s="144"/>
      <c r="B102" s="144"/>
      <c r="C102" s="138">
        <f ca="1">IFERROR(__xludf.DUMMYFUNCTION("""COMPUTED_VALUE"""),2835079)</f>
        <v>2835079</v>
      </c>
      <c r="D102" s="138" t="str">
        <f ca="1">IFERROR(__xludf.DUMMYFUNCTION("""COMPUTED_VALUE"""),"Intermediate")</f>
        <v>Intermediate</v>
      </c>
      <c r="E102" s="139" t="str">
        <f ca="1">IFERROR(__xludf.DUMMYFUNCTION("""COMPUTED_VALUE"""),"B2B Marketing on LinkedIn")</f>
        <v>B2B Marketing on LinkedIn</v>
      </c>
      <c r="F102" s="152"/>
      <c r="G102" s="144"/>
      <c r="H102" s="144"/>
      <c r="I102" s="144"/>
      <c r="J102" s="145"/>
      <c r="K102" s="145"/>
      <c r="L102" s="154"/>
      <c r="M102" s="155"/>
      <c r="N102" s="144"/>
      <c r="O102" s="144"/>
      <c r="P102" s="144"/>
      <c r="Q102" s="145"/>
      <c r="R102" s="145"/>
      <c r="S102" s="154"/>
      <c r="T102" s="155"/>
      <c r="U102" s="144"/>
      <c r="V102" s="144"/>
    </row>
    <row r="103" spans="1:22" ht="15" x14ac:dyDescent="0.15">
      <c r="A103" s="144"/>
      <c r="B103" s="144"/>
      <c r="C103" s="138">
        <f ca="1">IFERROR(__xludf.DUMMYFUNCTION("""COMPUTED_VALUE"""),2833101)</f>
        <v>2833101</v>
      </c>
      <c r="D103" s="138" t="str">
        <f ca="1">IFERROR(__xludf.DUMMYFUNCTION("""COMPUTED_VALUE"""),"Intermediate")</f>
        <v>Intermediate</v>
      </c>
      <c r="E103" s="139" t="str">
        <f ca="1">IFERROR(__xludf.DUMMYFUNCTION("""COMPUTED_VALUE"""),"Content Marketing: ROI")</f>
        <v>Content Marketing: ROI</v>
      </c>
      <c r="F103" s="152"/>
      <c r="G103" s="144"/>
      <c r="H103" s="144"/>
      <c r="I103" s="144"/>
      <c r="J103" s="145"/>
      <c r="K103" s="145"/>
      <c r="L103" s="154"/>
      <c r="M103" s="155"/>
      <c r="N103" s="144"/>
      <c r="O103" s="144"/>
      <c r="P103" s="144"/>
      <c r="Q103" s="145"/>
      <c r="R103" s="145"/>
      <c r="S103" s="154"/>
      <c r="T103" s="155"/>
      <c r="U103" s="144"/>
      <c r="V103" s="144"/>
    </row>
    <row r="104" spans="1:22" ht="30" x14ac:dyDescent="0.15">
      <c r="A104" s="144"/>
      <c r="B104" s="144"/>
      <c r="C104" s="138">
        <f ca="1">IFERROR(__xludf.DUMMYFUNCTION("""COMPUTED_VALUE"""),2846059)</f>
        <v>2846059</v>
      </c>
      <c r="D104" s="138" t="str">
        <f ca="1">IFERROR(__xludf.DUMMYFUNCTION("""COMPUTED_VALUE"""),"Intermediate")</f>
        <v>Intermediate</v>
      </c>
      <c r="E104" s="139" t="str">
        <f ca="1">IFERROR(__xludf.DUMMYFUNCTION("""COMPUTED_VALUE"""),"Marketing: Conversion Rate Optimization")</f>
        <v>Marketing: Conversion Rate Optimization</v>
      </c>
      <c r="F104" s="152"/>
      <c r="G104" s="144"/>
      <c r="H104" s="144"/>
      <c r="I104" s="144"/>
      <c r="J104" s="145"/>
      <c r="K104" s="145"/>
      <c r="L104" s="154"/>
      <c r="M104" s="155"/>
      <c r="N104" s="144"/>
      <c r="O104" s="144"/>
      <c r="P104" s="144"/>
      <c r="Q104" s="145"/>
      <c r="R104" s="145"/>
      <c r="S104" s="154"/>
      <c r="T104" s="155"/>
      <c r="U104" s="144"/>
      <c r="V104" s="144"/>
    </row>
    <row r="105" spans="1:22" ht="30" x14ac:dyDescent="0.15">
      <c r="A105" s="144"/>
      <c r="B105" s="144"/>
      <c r="C105" s="138">
        <f ca="1">IFERROR(__xludf.DUMMYFUNCTION("""COMPUTED_VALUE"""),2841396)</f>
        <v>2841396</v>
      </c>
      <c r="D105" s="138" t="str">
        <f ca="1">IFERROR(__xludf.DUMMYFUNCTION("""COMPUTED_VALUE"""),"Intermediate")</f>
        <v>Intermediate</v>
      </c>
      <c r="E105" s="139" t="str">
        <f ca="1">IFERROR(__xludf.DUMMYFUNCTION("""COMPUTED_VALUE"""),"Email Marketing: Strategy and Optimization")</f>
        <v>Email Marketing: Strategy and Optimization</v>
      </c>
      <c r="F105" s="152"/>
      <c r="G105" s="144"/>
      <c r="H105" s="144"/>
      <c r="I105" s="144"/>
      <c r="J105" s="145"/>
      <c r="K105" s="145"/>
      <c r="L105" s="154"/>
      <c r="M105" s="155"/>
      <c r="N105" s="144"/>
      <c r="O105" s="144"/>
      <c r="P105" s="144"/>
      <c r="Q105" s="145"/>
      <c r="R105" s="145"/>
      <c r="S105" s="154"/>
      <c r="T105" s="155"/>
      <c r="U105" s="144"/>
      <c r="V105" s="144"/>
    </row>
    <row r="106" spans="1:22" ht="15" x14ac:dyDescent="0.15">
      <c r="A106" s="144"/>
      <c r="B106" s="144"/>
      <c r="C106" s="138">
        <f ca="1">IFERROR(__xludf.DUMMYFUNCTION("""COMPUTED_VALUE"""),2864007)</f>
        <v>2864007</v>
      </c>
      <c r="D106" s="138" t="str">
        <f ca="1">IFERROR(__xludf.DUMMYFUNCTION("""COMPUTED_VALUE"""),"Intermediate")</f>
        <v>Intermediate</v>
      </c>
      <c r="E106" s="139" t="str">
        <f ca="1">IFERROR(__xludf.DUMMYFUNCTION("""COMPUTED_VALUE"""),"Advertising on YouTube")</f>
        <v>Advertising on YouTube</v>
      </c>
      <c r="F106" s="152"/>
      <c r="G106" s="144"/>
      <c r="H106" s="144"/>
      <c r="I106" s="144"/>
      <c r="J106" s="145"/>
      <c r="K106" s="145"/>
      <c r="L106" s="154"/>
      <c r="M106" s="155"/>
      <c r="N106" s="144"/>
      <c r="O106" s="144"/>
      <c r="P106" s="144"/>
      <c r="Q106" s="145"/>
      <c r="R106" s="145"/>
      <c r="S106" s="154"/>
      <c r="T106" s="155"/>
      <c r="U106" s="144"/>
      <c r="V106" s="144"/>
    </row>
    <row r="107" spans="1:22" ht="15" x14ac:dyDescent="0.15">
      <c r="A107" s="144"/>
      <c r="B107" s="144"/>
      <c r="C107" s="138">
        <f ca="1">IFERROR(__xludf.DUMMYFUNCTION("""COMPUTED_VALUE"""),2833073)</f>
        <v>2833073</v>
      </c>
      <c r="D107" s="138" t="str">
        <f ca="1">IFERROR(__xludf.DUMMYFUNCTION("""COMPUTED_VALUE"""),"Intermediate")</f>
        <v>Intermediate</v>
      </c>
      <c r="E107" s="139" t="str">
        <f ca="1">IFERROR(__xludf.DUMMYFUNCTION("""COMPUTED_VALUE"""),"Create a Go-to-Market Plan")</f>
        <v>Create a Go-to-Market Plan</v>
      </c>
      <c r="F107" s="152"/>
      <c r="G107" s="144"/>
      <c r="H107" s="144"/>
      <c r="I107" s="144"/>
      <c r="J107" s="145"/>
      <c r="K107" s="145"/>
      <c r="L107" s="154"/>
      <c r="M107" s="155"/>
      <c r="N107" s="144"/>
      <c r="O107" s="144"/>
      <c r="P107" s="144"/>
      <c r="Q107" s="145"/>
      <c r="R107" s="145"/>
      <c r="S107" s="154"/>
      <c r="T107" s="155"/>
      <c r="U107" s="144"/>
      <c r="V107" s="144"/>
    </row>
    <row r="108" spans="1:22" ht="15" x14ac:dyDescent="0.15">
      <c r="A108" s="144"/>
      <c r="B108" s="144"/>
      <c r="C108" s="138">
        <f ca="1">IFERROR(__xludf.DUMMYFUNCTION("""COMPUTED_VALUE"""),2808551)</f>
        <v>2808551</v>
      </c>
      <c r="D108" s="138" t="str">
        <f ca="1">IFERROR(__xludf.DUMMYFUNCTION("""COMPUTED_VALUE"""),"Intermediate")</f>
        <v>Intermediate</v>
      </c>
      <c r="E108" s="139" t="str">
        <f ca="1">IFERROR(__xludf.DUMMYFUNCTION("""COMPUTED_VALUE"""),"Marketing Tools: SEO")</f>
        <v>Marketing Tools: SEO</v>
      </c>
      <c r="F108" s="152"/>
      <c r="G108" s="144"/>
      <c r="H108" s="144"/>
      <c r="I108" s="144"/>
      <c r="J108" s="145"/>
      <c r="K108" s="145"/>
      <c r="L108" s="154"/>
      <c r="M108" s="155"/>
      <c r="N108" s="144"/>
      <c r="O108" s="144"/>
      <c r="P108" s="144"/>
      <c r="Q108" s="145"/>
      <c r="R108" s="145"/>
      <c r="S108" s="154"/>
      <c r="T108" s="155"/>
      <c r="U108" s="144"/>
      <c r="V108" s="144"/>
    </row>
    <row r="109" spans="1:22" ht="15" x14ac:dyDescent="0.15">
      <c r="A109" s="144"/>
      <c r="B109" s="144"/>
      <c r="C109" s="138">
        <f ca="1">IFERROR(__xludf.DUMMYFUNCTION("""COMPUTED_VALUE"""),2818029)</f>
        <v>2818029</v>
      </c>
      <c r="D109" s="138" t="str">
        <f ca="1">IFERROR(__xludf.DUMMYFUNCTION("""COMPUTED_VALUE"""),"Intermediate")</f>
        <v>Intermediate</v>
      </c>
      <c r="E109" s="139" t="str">
        <f ca="1">IFERROR(__xludf.DUMMYFUNCTION("""COMPUTED_VALUE"""),"Growth Hacking Tips")</f>
        <v>Growth Hacking Tips</v>
      </c>
      <c r="F109" s="152"/>
      <c r="G109" s="144"/>
      <c r="H109" s="144"/>
      <c r="I109" s="144"/>
      <c r="J109" s="145"/>
      <c r="K109" s="145"/>
      <c r="L109" s="154"/>
      <c r="M109" s="155"/>
      <c r="N109" s="144"/>
      <c r="O109" s="144"/>
      <c r="P109" s="144"/>
      <c r="Q109" s="145"/>
      <c r="R109" s="145"/>
      <c r="S109" s="154"/>
      <c r="T109" s="155"/>
      <c r="U109" s="144"/>
      <c r="V109" s="144"/>
    </row>
    <row r="110" spans="1:22" ht="15" x14ac:dyDescent="0.15">
      <c r="A110" s="144"/>
      <c r="B110" s="144"/>
      <c r="C110" s="138">
        <f ca="1">IFERROR(__xludf.DUMMYFUNCTION("""COMPUTED_VALUE"""),2817189)</f>
        <v>2817189</v>
      </c>
      <c r="D110" s="138" t="str">
        <f ca="1">IFERROR(__xludf.DUMMYFUNCTION("""COMPUTED_VALUE"""),"Intermediate")</f>
        <v>Intermediate</v>
      </c>
      <c r="E110" s="139" t="str">
        <f ca="1">IFERROR(__xludf.DUMMYFUNCTION("""COMPUTED_VALUE"""),"Improve SEO for Your Ecommerce Site")</f>
        <v>Improve SEO for Your Ecommerce Site</v>
      </c>
      <c r="F110" s="152"/>
      <c r="G110" s="144"/>
      <c r="H110" s="144"/>
      <c r="I110" s="144"/>
      <c r="J110" s="145"/>
      <c r="K110" s="145"/>
      <c r="L110" s="154"/>
      <c r="M110" s="155"/>
      <c r="N110" s="144"/>
      <c r="O110" s="144"/>
      <c r="P110" s="144"/>
      <c r="Q110" s="145"/>
      <c r="R110" s="145"/>
      <c r="S110" s="154"/>
      <c r="T110" s="155"/>
      <c r="U110" s="144"/>
      <c r="V110" s="144"/>
    </row>
    <row r="111" spans="1:22" ht="30" x14ac:dyDescent="0.15">
      <c r="A111" s="144"/>
      <c r="B111" s="144"/>
      <c r="C111" s="145">
        <f ca="1">IFERROR(__xludf.DUMMYFUNCTION("""COMPUTED_VALUE"""),2819186)</f>
        <v>2819186</v>
      </c>
      <c r="D111" s="145" t="str">
        <f ca="1">IFERROR(__xludf.DUMMYFUNCTION("""COMPUTED_VALUE"""),"Intermediate")</f>
        <v>Intermediate</v>
      </c>
      <c r="E111" s="146" t="str">
        <f ca="1">IFERROR(__xludf.DUMMYFUNCTION("""COMPUTED_VALUE"""),"Social Media Marketing: Strategy and Optimization")</f>
        <v>Social Media Marketing: Strategy and Optimization</v>
      </c>
      <c r="F111" s="155"/>
      <c r="G111" s="144"/>
      <c r="H111" s="144"/>
      <c r="I111" s="144"/>
      <c r="J111" s="145"/>
      <c r="K111" s="145"/>
      <c r="L111" s="154"/>
      <c r="M111" s="155"/>
      <c r="N111" s="144"/>
      <c r="O111" s="144"/>
      <c r="P111" s="144"/>
      <c r="Q111" s="145"/>
      <c r="R111" s="145"/>
      <c r="S111" s="154"/>
      <c r="T111" s="155"/>
      <c r="U111" s="144"/>
      <c r="V111" s="144"/>
    </row>
    <row r="112" spans="1:22" ht="15" x14ac:dyDescent="0.15">
      <c r="A112" s="144"/>
      <c r="B112" s="144"/>
      <c r="C112" s="145">
        <f ca="1">IFERROR(__xludf.DUMMYFUNCTION("""COMPUTED_VALUE"""),2822059)</f>
        <v>2822059</v>
      </c>
      <c r="D112" s="145" t="str">
        <f ca="1">IFERROR(__xludf.DUMMYFUNCTION("""COMPUTED_VALUE"""),"Intermediate")</f>
        <v>Intermediate</v>
      </c>
      <c r="E112" s="146" t="str">
        <f ca="1">IFERROR(__xludf.DUMMYFUNCTION("""COMPUTED_VALUE"""),"SEO: Keyword Strategy")</f>
        <v>SEO: Keyword Strategy</v>
      </c>
      <c r="F112" s="155"/>
      <c r="G112" s="144"/>
      <c r="H112" s="144"/>
      <c r="I112" s="144"/>
      <c r="J112" s="145"/>
      <c r="K112" s="145"/>
      <c r="L112" s="154"/>
      <c r="M112" s="155"/>
      <c r="N112" s="144"/>
      <c r="O112" s="144"/>
      <c r="P112" s="144"/>
      <c r="Q112" s="145"/>
      <c r="R112" s="145"/>
      <c r="S112" s="154"/>
      <c r="T112" s="155"/>
      <c r="U112" s="144"/>
      <c r="V112" s="144"/>
    </row>
    <row r="113" spans="1:22" ht="15" x14ac:dyDescent="0.15">
      <c r="A113" s="144"/>
      <c r="B113" s="144"/>
      <c r="C113" s="145">
        <f ca="1">IFERROR(__xludf.DUMMYFUNCTION("""COMPUTED_VALUE"""),2823073)</f>
        <v>2823073</v>
      </c>
      <c r="D113" s="145" t="str">
        <f ca="1">IFERROR(__xludf.DUMMYFUNCTION("""COMPUTED_VALUE"""),"Intermediate")</f>
        <v>Intermediate</v>
      </c>
      <c r="E113" s="146" t="str">
        <f ca="1">IFERROR(__xludf.DUMMYFUNCTION("""COMPUTED_VALUE"""),"SEO: Videos")</f>
        <v>SEO: Videos</v>
      </c>
      <c r="F113" s="155"/>
      <c r="G113" s="144"/>
      <c r="H113" s="144"/>
      <c r="I113" s="144"/>
      <c r="J113" s="145"/>
      <c r="K113" s="145"/>
      <c r="L113" s="154"/>
      <c r="M113" s="155"/>
      <c r="N113" s="144"/>
      <c r="O113" s="144"/>
      <c r="P113" s="144"/>
      <c r="Q113" s="145"/>
      <c r="R113" s="145"/>
      <c r="S113" s="154"/>
      <c r="T113" s="155"/>
      <c r="U113" s="144"/>
      <c r="V113" s="144"/>
    </row>
    <row r="114" spans="1:22" ht="15" x14ac:dyDescent="0.15">
      <c r="A114" s="144"/>
      <c r="B114" s="144"/>
      <c r="C114" s="145">
        <f ca="1">IFERROR(__xludf.DUMMYFUNCTION("""COMPUTED_VALUE"""),2825165)</f>
        <v>2825165</v>
      </c>
      <c r="D114" s="145" t="str">
        <f ca="1">IFERROR(__xludf.DUMMYFUNCTION("""COMPUTED_VALUE"""),"Intermediate")</f>
        <v>Intermediate</v>
      </c>
      <c r="E114" s="146" t="str">
        <f ca="1">IFERROR(__xludf.DUMMYFUNCTION("""COMPUTED_VALUE"""),"SEO for Social Media")</f>
        <v>SEO for Social Media</v>
      </c>
      <c r="F114" s="155"/>
      <c r="G114" s="144"/>
      <c r="H114" s="144"/>
      <c r="I114" s="144"/>
      <c r="J114" s="145"/>
      <c r="K114" s="145"/>
      <c r="L114" s="154"/>
      <c r="M114" s="155"/>
      <c r="N114" s="144"/>
      <c r="O114" s="144"/>
      <c r="P114" s="144"/>
      <c r="Q114" s="145"/>
      <c r="R114" s="145"/>
      <c r="S114" s="154"/>
      <c r="T114" s="155"/>
      <c r="U114" s="144"/>
      <c r="V114" s="144"/>
    </row>
    <row r="115" spans="1:22" ht="15" x14ac:dyDescent="0.15">
      <c r="A115" s="144"/>
      <c r="B115" s="144"/>
      <c r="C115" s="145">
        <f ca="1">IFERROR(__xludf.DUMMYFUNCTION("""COMPUTED_VALUE"""),2226728)</f>
        <v>2226728</v>
      </c>
      <c r="D115" s="145" t="str">
        <f ca="1">IFERROR(__xludf.DUMMYFUNCTION("""COMPUTED_VALUE"""),"Intermediate")</f>
        <v>Intermediate</v>
      </c>
      <c r="E115" s="146" t="str">
        <f ca="1">IFERROR(__xludf.DUMMYFUNCTION("""COMPUTED_VALUE"""),"Aligning Sales and Marketing")</f>
        <v>Aligning Sales and Marketing</v>
      </c>
      <c r="F115" s="155"/>
      <c r="G115" s="144"/>
      <c r="H115" s="144"/>
      <c r="I115" s="144"/>
      <c r="J115" s="145"/>
      <c r="K115" s="145"/>
      <c r="L115" s="154"/>
      <c r="M115" s="155"/>
      <c r="N115" s="144"/>
      <c r="O115" s="144"/>
      <c r="P115" s="144"/>
      <c r="Q115" s="145"/>
      <c r="R115" s="145"/>
      <c r="S115" s="154"/>
      <c r="T115" s="155"/>
      <c r="U115" s="144"/>
      <c r="V115" s="144"/>
    </row>
    <row r="116" spans="1:22" ht="15" x14ac:dyDescent="0.15">
      <c r="A116" s="144"/>
      <c r="B116" s="144"/>
      <c r="C116" s="145">
        <f ca="1">IFERROR(__xludf.DUMMYFUNCTION("""COMPUTED_VALUE"""),2242052)</f>
        <v>2242052</v>
      </c>
      <c r="D116" s="145" t="str">
        <f ca="1">IFERROR(__xludf.DUMMYFUNCTION("""COMPUTED_VALUE"""),"Intermediate")</f>
        <v>Intermediate</v>
      </c>
      <c r="E116" s="146" t="str">
        <f ca="1">IFERROR(__xludf.DUMMYFUNCTION("""COMPUTED_VALUE"""),"Python for Marketing")</f>
        <v>Python for Marketing</v>
      </c>
      <c r="F116" s="155"/>
      <c r="G116" s="144"/>
      <c r="H116" s="144"/>
      <c r="I116" s="144"/>
      <c r="J116" s="145"/>
      <c r="K116" s="145"/>
      <c r="L116" s="154"/>
      <c r="M116" s="155"/>
      <c r="N116" s="144"/>
      <c r="O116" s="144"/>
      <c r="P116" s="144"/>
      <c r="Q116" s="145"/>
      <c r="R116" s="145"/>
      <c r="S116" s="154"/>
      <c r="T116" s="155"/>
      <c r="U116" s="144"/>
      <c r="V116" s="144"/>
    </row>
    <row r="117" spans="1:22" ht="15" x14ac:dyDescent="0.15">
      <c r="A117" s="144"/>
      <c r="B117" s="144"/>
      <c r="C117" s="145">
        <f ca="1">IFERROR(__xludf.DUMMYFUNCTION("""COMPUTED_VALUE"""),2837202)</f>
        <v>2837202</v>
      </c>
      <c r="D117" s="145" t="str">
        <f ca="1">IFERROR(__xludf.DUMMYFUNCTION("""COMPUTED_VALUE"""),"Intermediate")</f>
        <v>Intermediate</v>
      </c>
      <c r="E117" s="146" t="str">
        <f ca="1">IFERROR(__xludf.DUMMYFUNCTION("""COMPUTED_VALUE"""),"Advertising on Instagram")</f>
        <v>Advertising on Instagram</v>
      </c>
      <c r="F117" s="155"/>
      <c r="G117" s="144"/>
      <c r="H117" s="144"/>
      <c r="I117" s="144"/>
      <c r="J117" s="145"/>
      <c r="K117" s="145"/>
      <c r="L117" s="154"/>
      <c r="M117" s="155"/>
      <c r="N117" s="144"/>
      <c r="O117" s="144"/>
      <c r="P117" s="144"/>
      <c r="Q117" s="145"/>
      <c r="R117" s="145"/>
      <c r="S117" s="154"/>
      <c r="T117" s="155"/>
      <c r="U117" s="144"/>
      <c r="V117" s="144"/>
    </row>
    <row r="118" spans="1:22" ht="30" x14ac:dyDescent="0.15">
      <c r="A118" s="144"/>
      <c r="B118" s="144"/>
      <c r="C118" s="145">
        <f ca="1">IFERROR(__xludf.DUMMYFUNCTION("""COMPUTED_VALUE"""),2839084)</f>
        <v>2839084</v>
      </c>
      <c r="D118" s="145" t="str">
        <f ca="1">IFERROR(__xludf.DUMMYFUNCTION("""COMPUTED_VALUE"""),"Intermediate")</f>
        <v>Intermediate</v>
      </c>
      <c r="E118" s="146" t="str">
        <f ca="1">IFERROR(__xludf.DUMMYFUNCTION("""COMPUTED_VALUE"""),"17 Questions to Help Improve Your Marketing")</f>
        <v>17 Questions to Help Improve Your Marketing</v>
      </c>
      <c r="F118" s="155"/>
      <c r="G118" s="144"/>
      <c r="H118" s="144"/>
      <c r="I118" s="144"/>
      <c r="J118" s="145"/>
      <c r="K118" s="145"/>
      <c r="L118" s="154"/>
      <c r="M118" s="155"/>
      <c r="N118" s="144"/>
      <c r="O118" s="144"/>
      <c r="P118" s="144"/>
      <c r="Q118" s="145"/>
      <c r="R118" s="145"/>
      <c r="S118" s="154"/>
      <c r="T118" s="155"/>
      <c r="U118" s="144"/>
      <c r="V118" s="144"/>
    </row>
    <row r="119" spans="1:22" ht="15" x14ac:dyDescent="0.15">
      <c r="A119" s="144"/>
      <c r="B119" s="144"/>
      <c r="C119" s="145">
        <f ca="1">IFERROR(__xludf.DUMMYFUNCTION("""COMPUTED_VALUE"""),2833046)</f>
        <v>2833046</v>
      </c>
      <c r="D119" s="145" t="str">
        <f ca="1">IFERROR(__xludf.DUMMYFUNCTION("""COMPUTED_VALUE"""),"Intermediate")</f>
        <v>Intermediate</v>
      </c>
      <c r="E119" s="146" t="str">
        <f ca="1">IFERROR(__xludf.DUMMYFUNCTION("""COMPUTED_VALUE"""),"Employer Branding on LinkedIn")</f>
        <v>Employer Branding on LinkedIn</v>
      </c>
      <c r="F119" s="155"/>
      <c r="G119" s="144"/>
      <c r="H119" s="144"/>
      <c r="I119" s="144"/>
      <c r="J119" s="145"/>
      <c r="K119" s="145"/>
      <c r="L119" s="154"/>
      <c r="M119" s="155"/>
      <c r="N119" s="144"/>
      <c r="O119" s="144"/>
      <c r="P119" s="144"/>
      <c r="Q119" s="145"/>
      <c r="R119" s="145"/>
      <c r="S119" s="154"/>
      <c r="T119" s="155"/>
      <c r="U119" s="144"/>
      <c r="V119" s="144"/>
    </row>
    <row r="120" spans="1:22" ht="30" x14ac:dyDescent="0.15">
      <c r="A120" s="144"/>
      <c r="B120" s="144"/>
      <c r="C120" s="145">
        <f ca="1">IFERROR(__xludf.DUMMYFUNCTION("""COMPUTED_VALUE"""),2849045)</f>
        <v>2849045</v>
      </c>
      <c r="D120" s="145" t="str">
        <f ca="1">IFERROR(__xludf.DUMMYFUNCTION("""COMPUTED_VALUE"""),"Intermediate")</f>
        <v>Intermediate</v>
      </c>
      <c r="E120" s="146" t="str">
        <f ca="1">IFERROR(__xludf.DUMMYFUNCTION("""COMPUTED_VALUE"""),"Start a Marketing Business: Concept to Launch")</f>
        <v>Start a Marketing Business: Concept to Launch</v>
      </c>
      <c r="F120" s="155"/>
      <c r="G120" s="144"/>
      <c r="H120" s="144"/>
      <c r="I120" s="144"/>
      <c r="J120" s="145"/>
      <c r="K120" s="145"/>
      <c r="L120" s="154"/>
      <c r="M120" s="155"/>
      <c r="N120" s="144"/>
      <c r="O120" s="144"/>
      <c r="P120" s="144"/>
      <c r="Q120" s="145"/>
      <c r="R120" s="145"/>
      <c r="S120" s="154"/>
      <c r="T120" s="155"/>
      <c r="U120" s="144"/>
      <c r="V120" s="144"/>
    </row>
    <row r="121" spans="1:22" ht="14" x14ac:dyDescent="0.15">
      <c r="A121" s="144"/>
      <c r="B121" s="144"/>
      <c r="C121" s="145"/>
      <c r="D121" s="145"/>
      <c r="E121" s="148"/>
      <c r="F121" s="155"/>
      <c r="G121" s="144"/>
      <c r="H121" s="144"/>
      <c r="I121" s="144"/>
      <c r="J121" s="145"/>
      <c r="K121" s="145"/>
      <c r="L121" s="154"/>
      <c r="M121" s="155"/>
      <c r="N121" s="144"/>
      <c r="O121" s="144"/>
      <c r="P121" s="144"/>
      <c r="Q121" s="145"/>
      <c r="R121" s="145"/>
      <c r="S121" s="154"/>
      <c r="T121" s="155"/>
      <c r="U121" s="144"/>
      <c r="V121" s="144"/>
    </row>
    <row r="122" spans="1:22" ht="14" x14ac:dyDescent="0.15">
      <c r="A122" s="144"/>
      <c r="B122" s="144"/>
      <c r="C122" s="145"/>
      <c r="D122" s="145"/>
      <c r="E122" s="148"/>
      <c r="F122" s="155"/>
      <c r="G122" s="144"/>
      <c r="H122" s="144"/>
      <c r="I122" s="144"/>
      <c r="J122" s="145"/>
      <c r="K122" s="145"/>
      <c r="L122" s="154"/>
      <c r="M122" s="155"/>
      <c r="N122" s="144"/>
      <c r="O122" s="144"/>
      <c r="P122" s="144"/>
      <c r="Q122" s="145"/>
      <c r="R122" s="145"/>
      <c r="S122" s="154"/>
      <c r="T122" s="155"/>
      <c r="U122" s="144"/>
      <c r="V122" s="144"/>
    </row>
    <row r="123" spans="1:22" ht="14" x14ac:dyDescent="0.15">
      <c r="A123" s="144"/>
      <c r="B123" s="144"/>
      <c r="C123" s="145"/>
      <c r="D123" s="145"/>
      <c r="E123" s="148"/>
      <c r="F123" s="155"/>
      <c r="G123" s="144"/>
      <c r="H123" s="144"/>
      <c r="I123" s="144"/>
      <c r="J123" s="145"/>
      <c r="K123" s="145"/>
      <c r="L123" s="154"/>
      <c r="M123" s="155"/>
      <c r="N123" s="144"/>
      <c r="O123" s="144"/>
      <c r="P123" s="144"/>
      <c r="Q123" s="145"/>
      <c r="R123" s="145"/>
      <c r="S123" s="154"/>
      <c r="T123" s="155"/>
      <c r="U123" s="144"/>
      <c r="V123" s="144"/>
    </row>
    <row r="124" spans="1:22" ht="14" x14ac:dyDescent="0.15">
      <c r="A124" s="144"/>
      <c r="B124" s="144"/>
      <c r="C124" s="145"/>
      <c r="D124" s="145"/>
      <c r="E124" s="148"/>
      <c r="F124" s="155"/>
      <c r="G124" s="144"/>
      <c r="H124" s="144"/>
      <c r="I124" s="144"/>
      <c r="J124" s="145"/>
      <c r="K124" s="145"/>
      <c r="L124" s="154"/>
      <c r="M124" s="155"/>
      <c r="N124" s="144"/>
      <c r="O124" s="144"/>
      <c r="P124" s="144"/>
      <c r="Q124" s="145"/>
      <c r="R124" s="145"/>
      <c r="S124" s="154"/>
      <c r="T124" s="155"/>
      <c r="U124" s="144"/>
      <c r="V124" s="144"/>
    </row>
    <row r="125" spans="1:22" ht="14" x14ac:dyDescent="0.15">
      <c r="A125" s="144"/>
      <c r="B125" s="144"/>
      <c r="C125" s="145"/>
      <c r="D125" s="145"/>
      <c r="E125" s="148"/>
      <c r="F125" s="155"/>
      <c r="G125" s="144"/>
      <c r="H125" s="144"/>
      <c r="I125" s="144"/>
      <c r="J125" s="145"/>
      <c r="K125" s="145"/>
      <c r="L125" s="154"/>
      <c r="M125" s="155"/>
      <c r="N125" s="144"/>
      <c r="O125" s="144"/>
      <c r="P125" s="144"/>
      <c r="Q125" s="145"/>
      <c r="R125" s="145"/>
      <c r="S125" s="154"/>
      <c r="T125" s="155"/>
      <c r="U125" s="144"/>
      <c r="V125" s="144"/>
    </row>
    <row r="126" spans="1:22" ht="14" x14ac:dyDescent="0.15">
      <c r="A126" s="144"/>
      <c r="B126" s="144"/>
      <c r="C126" s="145"/>
      <c r="D126" s="145"/>
      <c r="E126" s="148"/>
      <c r="F126" s="155"/>
      <c r="G126" s="144"/>
      <c r="H126" s="144"/>
      <c r="I126" s="144"/>
      <c r="J126" s="145"/>
      <c r="K126" s="145"/>
      <c r="L126" s="154"/>
      <c r="M126" s="155"/>
      <c r="N126" s="144"/>
      <c r="O126" s="144"/>
      <c r="P126" s="144"/>
      <c r="Q126" s="145"/>
      <c r="R126" s="145"/>
      <c r="S126" s="154"/>
      <c r="T126" s="155"/>
      <c r="U126" s="144"/>
      <c r="V126" s="144"/>
    </row>
    <row r="127" spans="1:22" ht="14" x14ac:dyDescent="0.15">
      <c r="A127" s="144"/>
      <c r="B127" s="144"/>
      <c r="C127" s="145"/>
      <c r="D127" s="145"/>
      <c r="E127" s="148"/>
      <c r="F127" s="155"/>
      <c r="G127" s="144"/>
      <c r="H127" s="144"/>
      <c r="I127" s="144"/>
      <c r="J127" s="145"/>
      <c r="K127" s="145"/>
      <c r="L127" s="154"/>
      <c r="M127" s="155"/>
      <c r="N127" s="144"/>
      <c r="O127" s="144"/>
      <c r="P127" s="144"/>
      <c r="Q127" s="145"/>
      <c r="R127" s="145"/>
      <c r="S127" s="154"/>
      <c r="T127" s="155"/>
      <c r="U127" s="144"/>
      <c r="V127" s="144"/>
    </row>
    <row r="128" spans="1:22" ht="14" x14ac:dyDescent="0.15">
      <c r="A128" s="144"/>
      <c r="B128" s="144"/>
      <c r="C128" s="145"/>
      <c r="D128" s="145"/>
      <c r="E128" s="148"/>
      <c r="F128" s="155"/>
      <c r="G128" s="144"/>
      <c r="H128" s="144"/>
      <c r="I128" s="144"/>
      <c r="J128" s="145"/>
      <c r="K128" s="145"/>
      <c r="L128" s="154"/>
      <c r="M128" s="155"/>
      <c r="N128" s="144"/>
      <c r="O128" s="144"/>
      <c r="P128" s="144"/>
      <c r="Q128" s="145"/>
      <c r="R128" s="145"/>
      <c r="S128" s="154"/>
      <c r="T128" s="155"/>
      <c r="U128" s="144"/>
      <c r="V128" s="144"/>
    </row>
    <row r="129" spans="1:22" ht="14" x14ac:dyDescent="0.15">
      <c r="A129" s="144"/>
      <c r="B129" s="144"/>
      <c r="C129" s="145"/>
      <c r="D129" s="145"/>
      <c r="E129" s="148"/>
      <c r="F129" s="155"/>
      <c r="G129" s="144"/>
      <c r="H129" s="144"/>
      <c r="I129" s="144"/>
      <c r="J129" s="145"/>
      <c r="K129" s="145"/>
      <c r="L129" s="154"/>
      <c r="M129" s="155"/>
      <c r="N129" s="144"/>
      <c r="O129" s="144"/>
      <c r="P129" s="144"/>
      <c r="Q129" s="145"/>
      <c r="R129" s="145"/>
      <c r="S129" s="154"/>
      <c r="T129" s="155"/>
      <c r="U129" s="144"/>
      <c r="V129" s="144"/>
    </row>
    <row r="130" spans="1:22" ht="14" x14ac:dyDescent="0.15">
      <c r="A130" s="144"/>
      <c r="B130" s="144"/>
      <c r="C130" s="145"/>
      <c r="D130" s="145"/>
      <c r="E130" s="148"/>
      <c r="F130" s="155"/>
      <c r="G130" s="144"/>
      <c r="H130" s="144"/>
      <c r="I130" s="144"/>
      <c r="J130" s="145"/>
      <c r="K130" s="145"/>
      <c r="L130" s="154"/>
      <c r="M130" s="155"/>
      <c r="N130" s="144"/>
      <c r="O130" s="144"/>
      <c r="P130" s="144"/>
      <c r="Q130" s="145"/>
      <c r="R130" s="145"/>
      <c r="S130" s="154"/>
      <c r="T130" s="155"/>
      <c r="U130" s="144"/>
      <c r="V130" s="144"/>
    </row>
    <row r="131" spans="1:22" ht="14" x14ac:dyDescent="0.15">
      <c r="A131" s="144"/>
      <c r="B131" s="144"/>
      <c r="C131" s="145"/>
      <c r="D131" s="145"/>
      <c r="E131" s="148"/>
      <c r="F131" s="155"/>
      <c r="G131" s="144"/>
      <c r="H131" s="144"/>
      <c r="I131" s="144"/>
      <c r="J131" s="145"/>
      <c r="K131" s="145"/>
      <c r="L131" s="154"/>
      <c r="M131" s="155"/>
      <c r="N131" s="144"/>
      <c r="O131" s="144"/>
      <c r="P131" s="144"/>
      <c r="Q131" s="145"/>
      <c r="R131" s="145"/>
      <c r="S131" s="154"/>
      <c r="T131" s="155"/>
      <c r="U131" s="144"/>
      <c r="V131" s="144"/>
    </row>
    <row r="132" spans="1:22" ht="14" x14ac:dyDescent="0.15">
      <c r="A132" s="144"/>
      <c r="B132" s="144"/>
      <c r="C132" s="145"/>
      <c r="D132" s="145"/>
      <c r="E132" s="148"/>
      <c r="F132" s="155"/>
      <c r="G132" s="144"/>
      <c r="H132" s="144"/>
      <c r="I132" s="144"/>
      <c r="J132" s="145"/>
      <c r="K132" s="145"/>
      <c r="L132" s="154"/>
      <c r="M132" s="155"/>
      <c r="N132" s="144"/>
      <c r="O132" s="144"/>
      <c r="P132" s="144"/>
      <c r="Q132" s="145"/>
      <c r="R132" s="145"/>
      <c r="S132" s="154"/>
      <c r="T132" s="155"/>
      <c r="U132" s="144"/>
      <c r="V132" s="144"/>
    </row>
    <row r="133" spans="1:22" ht="14" x14ac:dyDescent="0.15">
      <c r="A133" s="144"/>
      <c r="B133" s="144"/>
      <c r="C133" s="145"/>
      <c r="D133" s="145"/>
      <c r="E133" s="148"/>
      <c r="F133" s="155"/>
      <c r="G133" s="144"/>
      <c r="H133" s="144"/>
      <c r="I133" s="144"/>
      <c r="J133" s="145"/>
      <c r="K133" s="145"/>
      <c r="L133" s="154"/>
      <c r="M133" s="155"/>
      <c r="N133" s="144"/>
      <c r="O133" s="144"/>
      <c r="P133" s="144"/>
      <c r="Q133" s="145"/>
      <c r="R133" s="145"/>
      <c r="S133" s="154"/>
      <c r="T133" s="155"/>
      <c r="U133" s="144"/>
      <c r="V133" s="144"/>
    </row>
    <row r="134" spans="1:22" ht="14" x14ac:dyDescent="0.15">
      <c r="A134" s="144"/>
      <c r="B134" s="144"/>
      <c r="C134" s="145"/>
      <c r="D134" s="145"/>
      <c r="E134" s="148"/>
      <c r="F134" s="155"/>
      <c r="G134" s="144"/>
      <c r="H134" s="144"/>
      <c r="I134" s="144"/>
      <c r="J134" s="145"/>
      <c r="K134" s="145"/>
      <c r="L134" s="154"/>
      <c r="M134" s="155"/>
      <c r="N134" s="144"/>
      <c r="O134" s="144"/>
      <c r="P134" s="144"/>
      <c r="Q134" s="145"/>
      <c r="R134" s="145"/>
      <c r="S134" s="154"/>
      <c r="T134" s="155"/>
      <c r="U134" s="144"/>
      <c r="V134" s="144"/>
    </row>
    <row r="135" spans="1:22" ht="14" x14ac:dyDescent="0.15">
      <c r="A135" s="144"/>
      <c r="B135" s="144"/>
      <c r="C135" s="145"/>
      <c r="D135" s="145"/>
      <c r="E135" s="148"/>
      <c r="F135" s="155"/>
      <c r="G135" s="144"/>
      <c r="H135" s="144"/>
      <c r="I135" s="144"/>
      <c r="J135" s="145"/>
      <c r="K135" s="145"/>
      <c r="L135" s="154"/>
      <c r="M135" s="155"/>
      <c r="N135" s="144"/>
      <c r="O135" s="144"/>
      <c r="P135" s="144"/>
      <c r="Q135" s="145"/>
      <c r="R135" s="145"/>
      <c r="S135" s="154"/>
      <c r="T135" s="155"/>
      <c r="U135" s="144"/>
      <c r="V135" s="144"/>
    </row>
    <row r="136" spans="1:22" ht="14" x14ac:dyDescent="0.15">
      <c r="A136" s="144"/>
      <c r="B136" s="144"/>
      <c r="C136" s="145"/>
      <c r="D136" s="145"/>
      <c r="E136" s="148"/>
      <c r="F136" s="155"/>
      <c r="G136" s="144"/>
      <c r="H136" s="144"/>
      <c r="I136" s="144"/>
      <c r="J136" s="145"/>
      <c r="K136" s="145"/>
      <c r="L136" s="154"/>
      <c r="M136" s="155"/>
      <c r="N136" s="144"/>
      <c r="O136" s="144"/>
      <c r="P136" s="144"/>
      <c r="Q136" s="145"/>
      <c r="R136" s="145"/>
      <c r="S136" s="154"/>
      <c r="T136" s="155"/>
      <c r="U136" s="144"/>
      <c r="V136" s="144"/>
    </row>
    <row r="137" spans="1:22" ht="14" x14ac:dyDescent="0.15">
      <c r="A137" s="144"/>
      <c r="B137" s="144"/>
      <c r="C137" s="145"/>
      <c r="D137" s="145"/>
      <c r="E137" s="148"/>
      <c r="F137" s="155"/>
      <c r="G137" s="144"/>
      <c r="H137" s="144"/>
      <c r="I137" s="144"/>
      <c r="J137" s="145"/>
      <c r="K137" s="145"/>
      <c r="L137" s="154"/>
      <c r="M137" s="155"/>
      <c r="N137" s="144"/>
      <c r="O137" s="144"/>
      <c r="P137" s="144"/>
      <c r="Q137" s="145"/>
      <c r="R137" s="145"/>
      <c r="S137" s="154"/>
      <c r="T137" s="155"/>
      <c r="U137" s="144"/>
      <c r="V137" s="144"/>
    </row>
    <row r="138" spans="1:22" ht="14" x14ac:dyDescent="0.15">
      <c r="A138" s="144"/>
      <c r="B138" s="144"/>
      <c r="C138" s="145"/>
      <c r="D138" s="145"/>
      <c r="E138" s="148"/>
      <c r="F138" s="155"/>
      <c r="G138" s="144"/>
      <c r="H138" s="144"/>
      <c r="I138" s="144"/>
      <c r="J138" s="145"/>
      <c r="K138" s="145"/>
      <c r="L138" s="154"/>
      <c r="M138" s="155"/>
      <c r="N138" s="144"/>
      <c r="O138" s="144"/>
      <c r="P138" s="144"/>
      <c r="Q138" s="145"/>
      <c r="R138" s="145"/>
      <c r="S138" s="154"/>
      <c r="T138" s="155"/>
      <c r="U138" s="144"/>
      <c r="V138" s="144"/>
    </row>
    <row r="139" spans="1:22" ht="14" x14ac:dyDescent="0.15">
      <c r="A139" s="144"/>
      <c r="B139" s="144"/>
      <c r="C139" s="145"/>
      <c r="D139" s="145"/>
      <c r="E139" s="148"/>
      <c r="F139" s="155"/>
      <c r="G139" s="144"/>
      <c r="H139" s="144"/>
      <c r="I139" s="144"/>
      <c r="J139" s="145"/>
      <c r="K139" s="145"/>
      <c r="L139" s="154"/>
      <c r="M139" s="155"/>
      <c r="N139" s="144"/>
      <c r="O139" s="144"/>
      <c r="P139" s="144"/>
      <c r="Q139" s="145"/>
      <c r="R139" s="145"/>
      <c r="S139" s="154"/>
      <c r="T139" s="155"/>
      <c r="U139" s="144"/>
      <c r="V139" s="144"/>
    </row>
    <row r="140" spans="1:22" ht="14" x14ac:dyDescent="0.15">
      <c r="A140" s="144"/>
      <c r="B140" s="144"/>
      <c r="C140" s="145"/>
      <c r="D140" s="145"/>
      <c r="E140" s="148"/>
      <c r="F140" s="155"/>
      <c r="G140" s="144"/>
      <c r="H140" s="144"/>
      <c r="I140" s="144"/>
      <c r="J140" s="145"/>
      <c r="K140" s="145"/>
      <c r="L140" s="154"/>
      <c r="M140" s="155"/>
      <c r="N140" s="144"/>
      <c r="O140" s="144"/>
      <c r="P140" s="144"/>
      <c r="Q140" s="145"/>
      <c r="R140" s="145"/>
      <c r="S140" s="154"/>
      <c r="T140" s="155"/>
      <c r="U140" s="144"/>
      <c r="V140" s="144"/>
    </row>
    <row r="141" spans="1:22" ht="14" x14ac:dyDescent="0.15">
      <c r="A141" s="144"/>
      <c r="B141" s="144"/>
      <c r="C141" s="145"/>
      <c r="D141" s="145"/>
      <c r="E141" s="148"/>
      <c r="F141" s="155"/>
      <c r="G141" s="144"/>
      <c r="H141" s="144"/>
      <c r="I141" s="144"/>
      <c r="J141" s="145"/>
      <c r="K141" s="145"/>
      <c r="L141" s="154"/>
      <c r="M141" s="155"/>
      <c r="N141" s="144"/>
      <c r="O141" s="144"/>
      <c r="P141" s="144"/>
      <c r="Q141" s="145"/>
      <c r="R141" s="145"/>
      <c r="S141" s="154"/>
      <c r="T141" s="155"/>
      <c r="U141" s="144"/>
      <c r="V141" s="144"/>
    </row>
    <row r="142" spans="1:22" ht="14" x14ac:dyDescent="0.15">
      <c r="A142" s="144"/>
      <c r="B142" s="144"/>
      <c r="C142" s="145"/>
      <c r="D142" s="145"/>
      <c r="E142" s="148"/>
      <c r="F142" s="155"/>
      <c r="G142" s="144"/>
      <c r="H142" s="144"/>
      <c r="I142" s="144"/>
      <c r="J142" s="145"/>
      <c r="K142" s="145"/>
      <c r="L142" s="154"/>
      <c r="M142" s="155"/>
      <c r="N142" s="144"/>
      <c r="O142" s="144"/>
      <c r="P142" s="144"/>
      <c r="Q142" s="145"/>
      <c r="R142" s="145"/>
      <c r="S142" s="154"/>
      <c r="T142" s="155"/>
      <c r="U142" s="144"/>
      <c r="V142" s="144"/>
    </row>
    <row r="143" spans="1:22" ht="14" x14ac:dyDescent="0.15">
      <c r="A143" s="144"/>
      <c r="B143" s="144"/>
      <c r="C143" s="145"/>
      <c r="D143" s="145"/>
      <c r="E143" s="148"/>
      <c r="F143" s="155"/>
      <c r="G143" s="144"/>
      <c r="H143" s="144"/>
      <c r="I143" s="144"/>
      <c r="J143" s="145"/>
      <c r="K143" s="145"/>
      <c r="L143" s="154"/>
      <c r="M143" s="155"/>
      <c r="N143" s="144"/>
      <c r="O143" s="144"/>
      <c r="P143" s="144"/>
      <c r="Q143" s="145"/>
      <c r="R143" s="145"/>
      <c r="S143" s="154"/>
      <c r="T143" s="155"/>
      <c r="U143" s="144"/>
      <c r="V143" s="144"/>
    </row>
    <row r="144" spans="1:22" ht="14" x14ac:dyDescent="0.15">
      <c r="A144" s="144"/>
      <c r="B144" s="144"/>
      <c r="C144" s="145"/>
      <c r="D144" s="145"/>
      <c r="E144" s="148"/>
      <c r="F144" s="155"/>
      <c r="G144" s="144"/>
      <c r="H144" s="144"/>
      <c r="I144" s="144"/>
      <c r="J144" s="145"/>
      <c r="K144" s="145"/>
      <c r="L144" s="154"/>
      <c r="M144" s="155"/>
      <c r="N144" s="144"/>
      <c r="O144" s="144"/>
      <c r="P144" s="144"/>
      <c r="Q144" s="145"/>
      <c r="R144" s="145"/>
      <c r="S144" s="154"/>
      <c r="T144" s="155"/>
      <c r="U144" s="144"/>
      <c r="V144" s="144"/>
    </row>
    <row r="145" spans="1:22" ht="14" x14ac:dyDescent="0.15">
      <c r="A145" s="144"/>
      <c r="B145" s="144"/>
      <c r="C145" s="145"/>
      <c r="D145" s="145"/>
      <c r="E145" s="148"/>
      <c r="F145" s="155"/>
      <c r="G145" s="144"/>
      <c r="H145" s="144"/>
      <c r="I145" s="144"/>
      <c r="J145" s="145"/>
      <c r="K145" s="145"/>
      <c r="L145" s="154"/>
      <c r="M145" s="155"/>
      <c r="N145" s="144"/>
      <c r="O145" s="144"/>
      <c r="P145" s="144"/>
      <c r="Q145" s="145"/>
      <c r="R145" s="145"/>
      <c r="S145" s="154"/>
      <c r="T145" s="155"/>
      <c r="U145" s="144"/>
      <c r="V145" s="144"/>
    </row>
    <row r="146" spans="1:22" ht="14" x14ac:dyDescent="0.15">
      <c r="A146" s="144"/>
      <c r="B146" s="144"/>
      <c r="C146" s="145"/>
      <c r="D146" s="145"/>
      <c r="E146" s="148"/>
      <c r="F146" s="155"/>
      <c r="G146" s="144"/>
      <c r="H146" s="144"/>
      <c r="I146" s="144"/>
      <c r="J146" s="145"/>
      <c r="K146" s="145"/>
      <c r="L146" s="154"/>
      <c r="M146" s="155"/>
      <c r="N146" s="144"/>
      <c r="O146" s="144"/>
      <c r="P146" s="144"/>
      <c r="Q146" s="145"/>
      <c r="R146" s="145"/>
      <c r="S146" s="154"/>
      <c r="T146" s="155"/>
      <c r="U146" s="144"/>
      <c r="V146" s="144"/>
    </row>
    <row r="147" spans="1:22" ht="14" x14ac:dyDescent="0.15">
      <c r="A147" s="144"/>
      <c r="B147" s="144"/>
      <c r="C147" s="145"/>
      <c r="D147" s="145"/>
      <c r="E147" s="148"/>
      <c r="F147" s="155"/>
      <c r="G147" s="144"/>
      <c r="H147" s="144"/>
      <c r="I147" s="144"/>
      <c r="J147" s="145"/>
      <c r="K147" s="145"/>
      <c r="L147" s="154"/>
      <c r="M147" s="155"/>
      <c r="N147" s="144"/>
      <c r="O147" s="144"/>
      <c r="P147" s="144"/>
      <c r="Q147" s="145"/>
      <c r="R147" s="145"/>
      <c r="S147" s="154"/>
      <c r="T147" s="155"/>
      <c r="U147" s="144"/>
      <c r="V147" s="144"/>
    </row>
    <row r="148" spans="1:22" ht="14" x14ac:dyDescent="0.15">
      <c r="A148" s="144"/>
      <c r="B148" s="144"/>
      <c r="C148" s="145"/>
      <c r="D148" s="145"/>
      <c r="E148" s="148"/>
      <c r="F148" s="155"/>
      <c r="G148" s="144"/>
      <c r="H148" s="144"/>
      <c r="I148" s="144"/>
      <c r="J148" s="145"/>
      <c r="K148" s="145"/>
      <c r="L148" s="154"/>
      <c r="M148" s="155"/>
      <c r="N148" s="144"/>
      <c r="O148" s="144"/>
      <c r="P148" s="144"/>
      <c r="Q148" s="145"/>
      <c r="R148" s="145"/>
      <c r="S148" s="154"/>
      <c r="T148" s="155"/>
      <c r="U148" s="144"/>
      <c r="V148" s="144"/>
    </row>
    <row r="149" spans="1:22" ht="14" x14ac:dyDescent="0.15">
      <c r="A149" s="144"/>
      <c r="B149" s="144"/>
      <c r="C149" s="145"/>
      <c r="D149" s="145"/>
      <c r="E149" s="148"/>
      <c r="F149" s="155"/>
      <c r="G149" s="144"/>
      <c r="H149" s="144"/>
      <c r="I149" s="144"/>
      <c r="J149" s="145"/>
      <c r="K149" s="145"/>
      <c r="L149" s="154"/>
      <c r="M149" s="155"/>
      <c r="N149" s="144"/>
      <c r="O149" s="144"/>
      <c r="P149" s="144"/>
      <c r="Q149" s="145"/>
      <c r="R149" s="145"/>
      <c r="S149" s="154"/>
      <c r="T149" s="155"/>
      <c r="U149" s="144"/>
      <c r="V149" s="144"/>
    </row>
    <row r="150" spans="1:22" ht="14" x14ac:dyDescent="0.15">
      <c r="A150" s="144"/>
      <c r="B150" s="144"/>
      <c r="C150" s="145"/>
      <c r="D150" s="145"/>
      <c r="E150" s="148"/>
      <c r="F150" s="155"/>
      <c r="G150" s="144"/>
      <c r="H150" s="144"/>
      <c r="I150" s="144"/>
      <c r="J150" s="145"/>
      <c r="K150" s="145"/>
      <c r="L150" s="154"/>
      <c r="M150" s="155"/>
      <c r="N150" s="144"/>
      <c r="O150" s="144"/>
      <c r="P150" s="144"/>
      <c r="Q150" s="145"/>
      <c r="R150" s="145"/>
      <c r="S150" s="154"/>
      <c r="T150" s="155"/>
      <c r="U150" s="144"/>
      <c r="V150" s="144"/>
    </row>
    <row r="151" spans="1:22" ht="14" x14ac:dyDescent="0.15">
      <c r="A151" s="144"/>
      <c r="B151" s="144"/>
      <c r="C151" s="145"/>
      <c r="D151" s="145"/>
      <c r="E151" s="148"/>
      <c r="F151" s="155"/>
      <c r="G151" s="144"/>
      <c r="H151" s="144"/>
      <c r="I151" s="144"/>
      <c r="J151" s="145"/>
      <c r="K151" s="145"/>
      <c r="L151" s="154"/>
      <c r="M151" s="155"/>
      <c r="N151" s="144"/>
      <c r="O151" s="144"/>
      <c r="P151" s="144"/>
      <c r="Q151" s="145"/>
      <c r="R151" s="145"/>
      <c r="S151" s="154"/>
      <c r="T151" s="155"/>
      <c r="U151" s="144"/>
      <c r="V151" s="144"/>
    </row>
    <row r="152" spans="1:22" ht="14" x14ac:dyDescent="0.15">
      <c r="A152" s="144"/>
      <c r="B152" s="144"/>
      <c r="C152" s="145"/>
      <c r="D152" s="145"/>
      <c r="E152" s="148"/>
      <c r="F152" s="155"/>
      <c r="G152" s="144"/>
      <c r="H152" s="144"/>
      <c r="I152" s="144"/>
      <c r="J152" s="145"/>
      <c r="K152" s="145"/>
      <c r="L152" s="154"/>
      <c r="M152" s="155"/>
      <c r="N152" s="144"/>
      <c r="O152" s="144"/>
      <c r="P152" s="144"/>
      <c r="Q152" s="145"/>
      <c r="R152" s="145"/>
      <c r="S152" s="154"/>
      <c r="T152" s="155"/>
      <c r="U152" s="144"/>
      <c r="V152" s="144"/>
    </row>
    <row r="153" spans="1:22" ht="14" x14ac:dyDescent="0.15">
      <c r="A153" s="144"/>
      <c r="B153" s="144"/>
      <c r="C153" s="145"/>
      <c r="D153" s="145"/>
      <c r="E153" s="148"/>
      <c r="F153" s="155"/>
      <c r="G153" s="144"/>
      <c r="H153" s="144"/>
      <c r="I153" s="144"/>
      <c r="J153" s="145"/>
      <c r="K153" s="145"/>
      <c r="L153" s="154"/>
      <c r="M153" s="155"/>
      <c r="N153" s="144"/>
      <c r="O153" s="144"/>
      <c r="P153" s="144"/>
      <c r="Q153" s="145"/>
      <c r="R153" s="145"/>
      <c r="S153" s="154"/>
      <c r="T153" s="155"/>
      <c r="U153" s="144"/>
      <c r="V153" s="144"/>
    </row>
    <row r="154" spans="1:22" ht="14" x14ac:dyDescent="0.15">
      <c r="A154" s="144"/>
      <c r="B154" s="144"/>
      <c r="C154" s="145"/>
      <c r="D154" s="145"/>
      <c r="E154" s="148"/>
      <c r="F154" s="155"/>
      <c r="G154" s="144"/>
      <c r="H154" s="144"/>
      <c r="I154" s="144"/>
      <c r="J154" s="145"/>
      <c r="K154" s="145"/>
      <c r="L154" s="154"/>
      <c r="M154" s="155"/>
      <c r="N154" s="144"/>
      <c r="O154" s="144"/>
      <c r="P154" s="144"/>
      <c r="Q154" s="145"/>
      <c r="R154" s="145"/>
      <c r="S154" s="154"/>
      <c r="T154" s="155"/>
      <c r="U154" s="144"/>
      <c r="V154" s="144"/>
    </row>
    <row r="155" spans="1:22" ht="14" x14ac:dyDescent="0.15">
      <c r="A155" s="144"/>
      <c r="B155" s="144"/>
      <c r="C155" s="145"/>
      <c r="D155" s="145"/>
      <c r="E155" s="148"/>
      <c r="F155" s="155"/>
      <c r="G155" s="144"/>
      <c r="H155" s="144"/>
      <c r="I155" s="144"/>
      <c r="J155" s="145"/>
      <c r="K155" s="145"/>
      <c r="L155" s="154"/>
      <c r="M155" s="155"/>
      <c r="N155" s="144"/>
      <c r="O155" s="144"/>
      <c r="P155" s="144"/>
      <c r="Q155" s="145"/>
      <c r="R155" s="145"/>
      <c r="S155" s="154"/>
      <c r="T155" s="155"/>
      <c r="U155" s="144"/>
      <c r="V155" s="144"/>
    </row>
    <row r="156" spans="1:22" ht="14" x14ac:dyDescent="0.15">
      <c r="A156" s="144"/>
      <c r="B156" s="144"/>
      <c r="C156" s="145"/>
      <c r="D156" s="145"/>
      <c r="E156" s="148"/>
      <c r="F156" s="155"/>
      <c r="G156" s="144"/>
      <c r="H156" s="144"/>
      <c r="I156" s="144"/>
      <c r="J156" s="145"/>
      <c r="K156" s="145"/>
      <c r="L156" s="154"/>
      <c r="M156" s="155"/>
      <c r="N156" s="144"/>
      <c r="O156" s="144"/>
      <c r="P156" s="144"/>
      <c r="Q156" s="145"/>
      <c r="R156" s="145"/>
      <c r="S156" s="154"/>
      <c r="T156" s="155"/>
      <c r="U156" s="144"/>
      <c r="V156" s="144"/>
    </row>
    <row r="157" spans="1:22" ht="14" x14ac:dyDescent="0.15">
      <c r="A157" s="144"/>
      <c r="B157" s="144"/>
      <c r="C157" s="145"/>
      <c r="D157" s="145"/>
      <c r="E157" s="148"/>
      <c r="F157" s="155"/>
      <c r="G157" s="144"/>
      <c r="H157" s="144"/>
      <c r="I157" s="144"/>
      <c r="J157" s="145"/>
      <c r="K157" s="145"/>
      <c r="L157" s="154"/>
      <c r="M157" s="155"/>
      <c r="N157" s="144"/>
      <c r="O157" s="144"/>
      <c r="P157" s="144"/>
      <c r="Q157" s="145"/>
      <c r="R157" s="145"/>
      <c r="S157" s="154"/>
      <c r="T157" s="155"/>
      <c r="U157" s="144"/>
      <c r="V157" s="144"/>
    </row>
    <row r="158" spans="1:22" ht="14" x14ac:dyDescent="0.15">
      <c r="A158" s="144"/>
      <c r="B158" s="144"/>
      <c r="C158" s="145"/>
      <c r="D158" s="145"/>
      <c r="E158" s="148"/>
      <c r="F158" s="155"/>
      <c r="G158" s="144"/>
      <c r="H158" s="144"/>
      <c r="I158" s="144"/>
      <c r="J158" s="145"/>
      <c r="K158" s="145"/>
      <c r="L158" s="154"/>
      <c r="M158" s="155"/>
      <c r="N158" s="144"/>
      <c r="O158" s="144"/>
      <c r="P158" s="144"/>
      <c r="Q158" s="145"/>
      <c r="R158" s="145"/>
      <c r="S158" s="154"/>
      <c r="T158" s="155"/>
      <c r="U158" s="144"/>
      <c r="V158" s="144"/>
    </row>
    <row r="159" spans="1:22" ht="14" x14ac:dyDescent="0.15">
      <c r="A159" s="144"/>
      <c r="B159" s="144"/>
      <c r="C159" s="145"/>
      <c r="D159" s="145"/>
      <c r="E159" s="148"/>
      <c r="F159" s="155"/>
      <c r="G159" s="144"/>
      <c r="H159" s="144"/>
      <c r="I159" s="144"/>
      <c r="J159" s="145"/>
      <c r="K159" s="145"/>
      <c r="L159" s="154"/>
      <c r="M159" s="155"/>
      <c r="N159" s="144"/>
      <c r="O159" s="144"/>
      <c r="P159" s="144"/>
      <c r="Q159" s="145"/>
      <c r="R159" s="145"/>
      <c r="S159" s="154"/>
      <c r="T159" s="155"/>
      <c r="U159" s="144"/>
      <c r="V159" s="144"/>
    </row>
    <row r="160" spans="1:22" ht="14" x14ac:dyDescent="0.15">
      <c r="A160" s="144"/>
      <c r="B160" s="144"/>
      <c r="C160" s="145"/>
      <c r="D160" s="145"/>
      <c r="E160" s="148"/>
      <c r="F160" s="155"/>
      <c r="G160" s="144"/>
      <c r="H160" s="144"/>
      <c r="I160" s="144"/>
      <c r="J160" s="145"/>
      <c r="K160" s="145"/>
      <c r="L160" s="154"/>
      <c r="M160" s="155"/>
      <c r="N160" s="144"/>
      <c r="O160" s="144"/>
      <c r="P160" s="144"/>
      <c r="Q160" s="145"/>
      <c r="R160" s="145"/>
      <c r="S160" s="154"/>
      <c r="T160" s="155"/>
      <c r="U160" s="144"/>
      <c r="V160" s="144"/>
    </row>
    <row r="161" spans="1:22" ht="14" x14ac:dyDescent="0.15">
      <c r="A161" s="144"/>
      <c r="B161" s="144"/>
      <c r="C161" s="145"/>
      <c r="D161" s="145"/>
      <c r="E161" s="148"/>
      <c r="F161" s="155"/>
      <c r="G161" s="144"/>
      <c r="H161" s="144"/>
      <c r="I161" s="144"/>
      <c r="J161" s="145"/>
      <c r="K161" s="145"/>
      <c r="L161" s="154"/>
      <c r="M161" s="155"/>
      <c r="N161" s="144"/>
      <c r="O161" s="144"/>
      <c r="P161" s="144"/>
      <c r="Q161" s="145"/>
      <c r="R161" s="145"/>
      <c r="S161" s="154"/>
      <c r="T161" s="155"/>
      <c r="U161" s="144"/>
      <c r="V161" s="144"/>
    </row>
    <row r="162" spans="1:22" ht="14" x14ac:dyDescent="0.15">
      <c r="A162" s="144"/>
      <c r="B162" s="144"/>
      <c r="C162" s="145"/>
      <c r="D162" s="145"/>
      <c r="E162" s="148"/>
      <c r="F162" s="155"/>
      <c r="G162" s="144"/>
      <c r="H162" s="144"/>
      <c r="I162" s="144"/>
      <c r="J162" s="145"/>
      <c r="K162" s="145"/>
      <c r="L162" s="154"/>
      <c r="M162" s="155"/>
      <c r="N162" s="144"/>
      <c r="O162" s="144"/>
      <c r="P162" s="144"/>
      <c r="Q162" s="145"/>
      <c r="R162" s="145"/>
      <c r="S162" s="154"/>
      <c r="T162" s="155"/>
      <c r="U162" s="144"/>
      <c r="V162" s="144"/>
    </row>
    <row r="163" spans="1:22" ht="14" x14ac:dyDescent="0.15">
      <c r="A163" s="144"/>
      <c r="B163" s="144"/>
      <c r="C163" s="145"/>
      <c r="D163" s="145"/>
      <c r="E163" s="148"/>
      <c r="F163" s="155"/>
      <c r="G163" s="144"/>
      <c r="H163" s="144"/>
      <c r="I163" s="144"/>
      <c r="J163" s="145"/>
      <c r="K163" s="145"/>
      <c r="L163" s="154"/>
      <c r="M163" s="155"/>
      <c r="N163" s="144"/>
      <c r="O163" s="144"/>
      <c r="P163" s="144"/>
      <c r="Q163" s="145"/>
      <c r="R163" s="145"/>
      <c r="S163" s="154"/>
      <c r="T163" s="155"/>
      <c r="U163" s="144"/>
      <c r="V163" s="144"/>
    </row>
    <row r="164" spans="1:22" ht="14" x14ac:dyDescent="0.15">
      <c r="A164" s="144"/>
      <c r="B164" s="144"/>
      <c r="C164" s="145"/>
      <c r="D164" s="145"/>
      <c r="E164" s="148"/>
      <c r="F164" s="155"/>
      <c r="G164" s="144"/>
      <c r="H164" s="144"/>
      <c r="I164" s="144"/>
      <c r="J164" s="145"/>
      <c r="K164" s="145"/>
      <c r="L164" s="154"/>
      <c r="M164" s="155"/>
      <c r="N164" s="144"/>
      <c r="O164" s="144"/>
      <c r="P164" s="144"/>
      <c r="Q164" s="145"/>
      <c r="R164" s="145"/>
      <c r="S164" s="154"/>
      <c r="T164" s="155"/>
      <c r="U164" s="144"/>
      <c r="V164" s="144"/>
    </row>
    <row r="165" spans="1:22" ht="14" x14ac:dyDescent="0.15">
      <c r="A165" s="144"/>
      <c r="B165" s="144"/>
      <c r="C165" s="145"/>
      <c r="D165" s="145"/>
      <c r="E165" s="148"/>
      <c r="F165" s="155"/>
      <c r="G165" s="144"/>
      <c r="H165" s="144"/>
      <c r="I165" s="144"/>
      <c r="J165" s="145"/>
      <c r="K165" s="145"/>
      <c r="L165" s="154"/>
      <c r="M165" s="155"/>
      <c r="N165" s="144"/>
      <c r="O165" s="144"/>
      <c r="P165" s="144"/>
      <c r="Q165" s="145"/>
      <c r="R165" s="145"/>
      <c r="S165" s="154"/>
      <c r="T165" s="155"/>
      <c r="U165" s="144"/>
      <c r="V165" s="144"/>
    </row>
    <row r="166" spans="1:22" ht="14" x14ac:dyDescent="0.15">
      <c r="A166" s="144"/>
      <c r="B166" s="144"/>
      <c r="C166" s="145"/>
      <c r="D166" s="145"/>
      <c r="E166" s="148"/>
      <c r="F166" s="155"/>
      <c r="G166" s="144"/>
      <c r="H166" s="144"/>
      <c r="I166" s="144"/>
      <c r="J166" s="145"/>
      <c r="K166" s="145"/>
      <c r="L166" s="154"/>
      <c r="M166" s="155"/>
      <c r="N166" s="144"/>
      <c r="O166" s="144"/>
      <c r="P166" s="144"/>
      <c r="Q166" s="145"/>
      <c r="R166" s="145"/>
      <c r="S166" s="154"/>
      <c r="T166" s="155"/>
      <c r="U166" s="144"/>
      <c r="V166" s="144"/>
    </row>
    <row r="167" spans="1:22" ht="14" x14ac:dyDescent="0.15">
      <c r="A167" s="144"/>
      <c r="B167" s="144"/>
      <c r="C167" s="145"/>
      <c r="D167" s="145"/>
      <c r="E167" s="148"/>
      <c r="F167" s="155"/>
      <c r="G167" s="144"/>
      <c r="H167" s="144"/>
      <c r="I167" s="144"/>
      <c r="J167" s="145"/>
      <c r="K167" s="145"/>
      <c r="L167" s="154"/>
      <c r="M167" s="155"/>
      <c r="N167" s="144"/>
      <c r="O167" s="144"/>
      <c r="P167" s="144"/>
      <c r="Q167" s="145"/>
      <c r="R167" s="145"/>
      <c r="S167" s="154"/>
      <c r="T167" s="155"/>
      <c r="U167" s="144"/>
      <c r="V167" s="144"/>
    </row>
    <row r="168" spans="1:22" ht="14" x14ac:dyDescent="0.15">
      <c r="A168" s="144"/>
      <c r="B168" s="144"/>
      <c r="C168" s="145"/>
      <c r="D168" s="145"/>
      <c r="E168" s="148"/>
      <c r="F168" s="155"/>
      <c r="G168" s="144"/>
      <c r="H168" s="144"/>
      <c r="I168" s="144"/>
      <c r="J168" s="145"/>
      <c r="K168" s="145"/>
      <c r="L168" s="154"/>
      <c r="M168" s="155"/>
      <c r="N168" s="144"/>
      <c r="O168" s="144"/>
      <c r="P168" s="144"/>
      <c r="Q168" s="145"/>
      <c r="R168" s="145"/>
      <c r="S168" s="154"/>
      <c r="T168" s="155"/>
      <c r="U168" s="144"/>
      <c r="V168" s="144"/>
    </row>
    <row r="169" spans="1:22" ht="14" x14ac:dyDescent="0.15">
      <c r="A169" s="144"/>
      <c r="B169" s="144"/>
      <c r="C169" s="145"/>
      <c r="D169" s="145"/>
      <c r="E169" s="148"/>
      <c r="F169" s="155"/>
      <c r="G169" s="144"/>
      <c r="H169" s="144"/>
      <c r="I169" s="144"/>
      <c r="J169" s="145"/>
      <c r="K169" s="145"/>
      <c r="L169" s="154"/>
      <c r="M169" s="155"/>
      <c r="N169" s="144"/>
      <c r="O169" s="144"/>
      <c r="P169" s="144"/>
      <c r="Q169" s="145"/>
      <c r="R169" s="145"/>
      <c r="S169" s="154"/>
      <c r="T169" s="155"/>
      <c r="U169" s="144"/>
      <c r="V169" s="144"/>
    </row>
    <row r="170" spans="1:22" ht="14" x14ac:dyDescent="0.15">
      <c r="A170" s="144"/>
      <c r="B170" s="144"/>
      <c r="C170" s="145"/>
      <c r="D170" s="145"/>
      <c r="E170" s="148"/>
      <c r="F170" s="155"/>
      <c r="G170" s="144"/>
      <c r="H170" s="144"/>
      <c r="I170" s="144"/>
      <c r="J170" s="145"/>
      <c r="K170" s="145"/>
      <c r="L170" s="154"/>
      <c r="M170" s="155"/>
      <c r="N170" s="144"/>
      <c r="O170" s="144"/>
      <c r="P170" s="144"/>
      <c r="Q170" s="145"/>
      <c r="R170" s="145"/>
      <c r="S170" s="154"/>
      <c r="T170" s="155"/>
      <c r="U170" s="144"/>
      <c r="V170" s="144"/>
    </row>
    <row r="171" spans="1:22" ht="14" x14ac:dyDescent="0.15">
      <c r="A171" s="144"/>
      <c r="B171" s="144"/>
      <c r="C171" s="145"/>
      <c r="D171" s="145"/>
      <c r="E171" s="148"/>
      <c r="F171" s="155"/>
      <c r="G171" s="144"/>
      <c r="H171" s="144"/>
      <c r="I171" s="144"/>
      <c r="J171" s="145"/>
      <c r="K171" s="145"/>
      <c r="L171" s="154"/>
      <c r="M171" s="155"/>
      <c r="N171" s="144"/>
      <c r="O171" s="144"/>
      <c r="P171" s="144"/>
      <c r="Q171" s="145"/>
      <c r="R171" s="145"/>
      <c r="S171" s="154"/>
      <c r="T171" s="155"/>
      <c r="U171" s="144"/>
      <c r="V171" s="144"/>
    </row>
    <row r="172" spans="1:22" ht="14" x14ac:dyDescent="0.15">
      <c r="A172" s="144"/>
      <c r="B172" s="144"/>
      <c r="C172" s="145"/>
      <c r="D172" s="145"/>
      <c r="E172" s="148"/>
      <c r="F172" s="155"/>
      <c r="G172" s="144"/>
      <c r="H172" s="144"/>
      <c r="I172" s="144"/>
      <c r="J172" s="145"/>
      <c r="K172" s="145"/>
      <c r="L172" s="154"/>
      <c r="M172" s="155"/>
      <c r="N172" s="144"/>
      <c r="O172" s="144"/>
      <c r="P172" s="144"/>
      <c r="Q172" s="145"/>
      <c r="R172" s="145"/>
      <c r="S172" s="154"/>
      <c r="T172" s="155"/>
      <c r="U172" s="144"/>
      <c r="V172" s="144"/>
    </row>
    <row r="173" spans="1:22" ht="14" x14ac:dyDescent="0.15">
      <c r="A173" s="144"/>
      <c r="B173" s="144"/>
      <c r="C173" s="145"/>
      <c r="D173" s="145"/>
      <c r="E173" s="148"/>
      <c r="F173" s="155"/>
      <c r="G173" s="144"/>
      <c r="H173" s="144"/>
      <c r="I173" s="144"/>
      <c r="J173" s="145"/>
      <c r="K173" s="145"/>
      <c r="L173" s="154"/>
      <c r="M173" s="155"/>
      <c r="N173" s="144"/>
      <c r="O173" s="144"/>
      <c r="P173" s="144"/>
      <c r="Q173" s="145"/>
      <c r="R173" s="145"/>
      <c r="S173" s="154"/>
      <c r="T173" s="155"/>
      <c r="U173" s="144"/>
      <c r="V173" s="144"/>
    </row>
    <row r="174" spans="1:22" ht="14" x14ac:dyDescent="0.15">
      <c r="A174" s="144"/>
      <c r="B174" s="144"/>
      <c r="C174" s="145"/>
      <c r="D174" s="145"/>
      <c r="E174" s="148"/>
      <c r="F174" s="155"/>
      <c r="G174" s="144"/>
      <c r="H174" s="144"/>
      <c r="I174" s="144"/>
      <c r="J174" s="145"/>
      <c r="K174" s="145"/>
      <c r="L174" s="154"/>
      <c r="M174" s="155"/>
      <c r="N174" s="144"/>
      <c r="O174" s="144"/>
      <c r="P174" s="144"/>
      <c r="Q174" s="145"/>
      <c r="R174" s="145"/>
      <c r="S174" s="154"/>
      <c r="T174" s="155"/>
      <c r="U174" s="144"/>
      <c r="V174" s="144"/>
    </row>
    <row r="175" spans="1:22" ht="14" x14ac:dyDescent="0.15">
      <c r="A175" s="144"/>
      <c r="B175" s="144"/>
      <c r="C175" s="145"/>
      <c r="D175" s="145"/>
      <c r="E175" s="148"/>
      <c r="F175" s="155"/>
      <c r="G175" s="144"/>
      <c r="H175" s="144"/>
      <c r="I175" s="144"/>
      <c r="J175" s="145"/>
      <c r="K175" s="145"/>
      <c r="L175" s="154"/>
      <c r="M175" s="155"/>
      <c r="N175" s="144"/>
      <c r="O175" s="144"/>
      <c r="P175" s="144"/>
      <c r="Q175" s="145"/>
      <c r="R175" s="145"/>
      <c r="S175" s="154"/>
      <c r="T175" s="155"/>
      <c r="U175" s="144"/>
      <c r="V175" s="144"/>
    </row>
    <row r="176" spans="1:22" ht="14" x14ac:dyDescent="0.15">
      <c r="A176" s="144"/>
      <c r="B176" s="144"/>
      <c r="C176" s="145"/>
      <c r="D176" s="145"/>
      <c r="E176" s="148"/>
      <c r="F176" s="155"/>
      <c r="G176" s="144"/>
      <c r="H176" s="144"/>
      <c r="I176" s="144"/>
      <c r="J176" s="145"/>
      <c r="K176" s="145"/>
      <c r="L176" s="154"/>
      <c r="M176" s="155"/>
      <c r="N176" s="144"/>
      <c r="O176" s="144"/>
      <c r="P176" s="144"/>
      <c r="Q176" s="145"/>
      <c r="R176" s="145"/>
      <c r="S176" s="154"/>
      <c r="T176" s="155"/>
      <c r="U176" s="144"/>
      <c r="V176" s="144"/>
    </row>
    <row r="177" spans="1:22" ht="14" x14ac:dyDescent="0.15">
      <c r="A177" s="144"/>
      <c r="B177" s="144"/>
      <c r="C177" s="145"/>
      <c r="D177" s="145"/>
      <c r="E177" s="148"/>
      <c r="F177" s="155"/>
      <c r="G177" s="144"/>
      <c r="H177" s="144"/>
      <c r="I177" s="144"/>
      <c r="J177" s="145"/>
      <c r="K177" s="145"/>
      <c r="L177" s="154"/>
      <c r="M177" s="155"/>
      <c r="N177" s="144"/>
      <c r="O177" s="144"/>
      <c r="P177" s="144"/>
      <c r="Q177" s="145"/>
      <c r="R177" s="145"/>
      <c r="S177" s="154"/>
      <c r="T177" s="155"/>
      <c r="U177" s="144"/>
      <c r="V177" s="144"/>
    </row>
    <row r="178" spans="1:22" ht="14" x14ac:dyDescent="0.15">
      <c r="A178" s="144"/>
      <c r="B178" s="144"/>
      <c r="C178" s="145"/>
      <c r="D178" s="145"/>
      <c r="E178" s="148"/>
      <c r="F178" s="155"/>
      <c r="G178" s="144"/>
      <c r="H178" s="144"/>
      <c r="I178" s="144"/>
      <c r="J178" s="145"/>
      <c r="K178" s="145"/>
      <c r="L178" s="154"/>
      <c r="M178" s="155"/>
      <c r="N178" s="144"/>
      <c r="O178" s="144"/>
      <c r="P178" s="144"/>
      <c r="Q178" s="145"/>
      <c r="R178" s="145"/>
      <c r="S178" s="154"/>
      <c r="T178" s="155"/>
      <c r="U178" s="144"/>
      <c r="V178" s="144"/>
    </row>
    <row r="179" spans="1:22" ht="14" x14ac:dyDescent="0.15">
      <c r="A179" s="144"/>
      <c r="B179" s="144"/>
      <c r="C179" s="145"/>
      <c r="D179" s="145"/>
      <c r="E179" s="148"/>
      <c r="F179" s="155"/>
      <c r="G179" s="144"/>
      <c r="H179" s="144"/>
      <c r="I179" s="144"/>
      <c r="J179" s="145"/>
      <c r="K179" s="145"/>
      <c r="L179" s="154"/>
      <c r="M179" s="155"/>
      <c r="N179" s="144"/>
      <c r="O179" s="144"/>
      <c r="P179" s="144"/>
      <c r="Q179" s="145"/>
      <c r="R179" s="145"/>
      <c r="S179" s="154"/>
      <c r="T179" s="155"/>
      <c r="U179" s="144"/>
      <c r="V179" s="144"/>
    </row>
    <row r="180" spans="1:22" ht="14" x14ac:dyDescent="0.15">
      <c r="A180" s="144"/>
      <c r="B180" s="144"/>
      <c r="C180" s="145"/>
      <c r="D180" s="145"/>
      <c r="E180" s="148"/>
      <c r="F180" s="155"/>
      <c r="G180" s="144"/>
      <c r="H180" s="144"/>
      <c r="I180" s="144"/>
      <c r="J180" s="145"/>
      <c r="K180" s="145"/>
      <c r="L180" s="154"/>
      <c r="M180" s="155"/>
      <c r="N180" s="144"/>
      <c r="O180" s="144"/>
      <c r="P180" s="144"/>
      <c r="Q180" s="145"/>
      <c r="R180" s="145"/>
      <c r="S180" s="154"/>
      <c r="T180" s="155"/>
      <c r="U180" s="144"/>
      <c r="V180" s="144"/>
    </row>
    <row r="181" spans="1:22" ht="14" x14ac:dyDescent="0.15">
      <c r="A181" s="144"/>
      <c r="B181" s="144"/>
      <c r="C181" s="145"/>
      <c r="D181" s="145"/>
      <c r="E181" s="148"/>
      <c r="F181" s="155"/>
      <c r="G181" s="144"/>
      <c r="H181" s="144"/>
      <c r="I181" s="144"/>
      <c r="J181" s="145"/>
      <c r="K181" s="145"/>
      <c r="L181" s="154"/>
      <c r="M181" s="155"/>
      <c r="N181" s="144"/>
      <c r="O181" s="144"/>
      <c r="P181" s="144"/>
      <c r="Q181" s="145"/>
      <c r="R181" s="145"/>
      <c r="S181" s="154"/>
      <c r="T181" s="155"/>
      <c r="U181" s="144"/>
      <c r="V181" s="144"/>
    </row>
    <row r="182" spans="1:22" ht="14" x14ac:dyDescent="0.15">
      <c r="A182" s="144"/>
      <c r="B182" s="144"/>
      <c r="C182" s="145"/>
      <c r="D182" s="145"/>
      <c r="E182" s="148"/>
      <c r="F182" s="155"/>
      <c r="G182" s="144"/>
      <c r="H182" s="144"/>
      <c r="I182" s="144"/>
      <c r="J182" s="145"/>
      <c r="K182" s="145"/>
      <c r="L182" s="154"/>
      <c r="M182" s="155"/>
      <c r="N182" s="144"/>
      <c r="O182" s="144"/>
      <c r="P182" s="144"/>
      <c r="Q182" s="145"/>
      <c r="R182" s="145"/>
      <c r="S182" s="154"/>
      <c r="T182" s="155"/>
      <c r="U182" s="144"/>
      <c r="V182" s="144"/>
    </row>
    <row r="183" spans="1:22" ht="14" x14ac:dyDescent="0.15">
      <c r="A183" s="144"/>
      <c r="B183" s="144"/>
      <c r="C183" s="145"/>
      <c r="D183" s="145"/>
      <c r="E183" s="148"/>
      <c r="F183" s="155"/>
      <c r="G183" s="144"/>
      <c r="H183" s="144"/>
      <c r="I183" s="144"/>
      <c r="J183" s="145"/>
      <c r="K183" s="145"/>
      <c r="L183" s="154"/>
      <c r="M183" s="155"/>
      <c r="N183" s="144"/>
      <c r="O183" s="144"/>
      <c r="P183" s="144"/>
      <c r="Q183" s="145"/>
      <c r="R183" s="145"/>
      <c r="S183" s="154"/>
      <c r="T183" s="155"/>
      <c r="U183" s="144"/>
      <c r="V183" s="144"/>
    </row>
    <row r="184" spans="1:22" ht="14" x14ac:dyDescent="0.15">
      <c r="A184" s="144"/>
      <c r="B184" s="144"/>
      <c r="C184" s="145"/>
      <c r="D184" s="145"/>
      <c r="E184" s="148"/>
      <c r="F184" s="155"/>
      <c r="G184" s="144"/>
      <c r="H184" s="144"/>
      <c r="I184" s="144"/>
      <c r="J184" s="145"/>
      <c r="K184" s="145"/>
      <c r="L184" s="154"/>
      <c r="M184" s="155"/>
      <c r="N184" s="144"/>
      <c r="O184" s="144"/>
      <c r="P184" s="144"/>
      <c r="Q184" s="145"/>
      <c r="R184" s="145"/>
      <c r="S184" s="154"/>
      <c r="T184" s="155"/>
      <c r="U184" s="144"/>
      <c r="V184" s="144"/>
    </row>
    <row r="185" spans="1:22" ht="14" x14ac:dyDescent="0.15">
      <c r="A185" s="144"/>
      <c r="B185" s="144"/>
      <c r="C185" s="145"/>
      <c r="D185" s="145"/>
      <c r="E185" s="148"/>
      <c r="F185" s="155"/>
      <c r="G185" s="144"/>
      <c r="H185" s="144"/>
      <c r="I185" s="144"/>
      <c r="J185" s="145"/>
      <c r="K185" s="145"/>
      <c r="L185" s="154"/>
      <c r="M185" s="155"/>
      <c r="N185" s="144"/>
      <c r="O185" s="144"/>
      <c r="P185" s="144"/>
      <c r="Q185" s="145"/>
      <c r="R185" s="145"/>
      <c r="S185" s="154"/>
      <c r="T185" s="155"/>
      <c r="U185" s="144"/>
      <c r="V185" s="144"/>
    </row>
    <row r="186" spans="1:22" ht="14" x14ac:dyDescent="0.15">
      <c r="A186" s="144"/>
      <c r="B186" s="144"/>
      <c r="C186" s="145"/>
      <c r="D186" s="145"/>
      <c r="E186" s="148"/>
      <c r="F186" s="155"/>
      <c r="G186" s="144"/>
      <c r="H186" s="144"/>
      <c r="I186" s="144"/>
      <c r="J186" s="145"/>
      <c r="K186" s="145"/>
      <c r="L186" s="154"/>
      <c r="M186" s="155"/>
      <c r="N186" s="144"/>
      <c r="O186" s="144"/>
      <c r="P186" s="144"/>
      <c r="Q186" s="145"/>
      <c r="R186" s="145"/>
      <c r="S186" s="154"/>
      <c r="T186" s="155"/>
      <c r="U186" s="144"/>
      <c r="V186" s="144"/>
    </row>
    <row r="187" spans="1:22" ht="14" x14ac:dyDescent="0.15">
      <c r="A187" s="144"/>
      <c r="B187" s="144"/>
      <c r="C187" s="145"/>
      <c r="D187" s="145"/>
      <c r="E187" s="148"/>
      <c r="F187" s="155"/>
      <c r="G187" s="144"/>
      <c r="H187" s="144"/>
      <c r="I187" s="144"/>
      <c r="J187" s="145"/>
      <c r="K187" s="145"/>
      <c r="L187" s="154"/>
      <c r="M187" s="155"/>
      <c r="N187" s="144"/>
      <c r="O187" s="144"/>
      <c r="P187" s="144"/>
      <c r="Q187" s="145"/>
      <c r="R187" s="145"/>
      <c r="S187" s="154"/>
      <c r="T187" s="155"/>
      <c r="U187" s="144"/>
      <c r="V187" s="144"/>
    </row>
    <row r="188" spans="1:22" ht="14" x14ac:dyDescent="0.15">
      <c r="A188" s="144"/>
      <c r="B188" s="144"/>
      <c r="C188" s="145"/>
      <c r="D188" s="145"/>
      <c r="E188" s="148"/>
      <c r="F188" s="155"/>
      <c r="G188" s="144"/>
      <c r="H188" s="144"/>
      <c r="I188" s="144"/>
      <c r="J188" s="145"/>
      <c r="K188" s="145"/>
      <c r="L188" s="154"/>
      <c r="M188" s="155"/>
      <c r="N188" s="144"/>
      <c r="O188" s="144"/>
      <c r="P188" s="144"/>
      <c r="Q188" s="145"/>
      <c r="R188" s="145"/>
      <c r="S188" s="154"/>
      <c r="T188" s="155"/>
      <c r="U188" s="144"/>
      <c r="V188" s="144"/>
    </row>
    <row r="189" spans="1:22" ht="14" x14ac:dyDescent="0.15">
      <c r="A189" s="144"/>
      <c r="B189" s="144"/>
      <c r="C189" s="145"/>
      <c r="D189" s="145"/>
      <c r="E189" s="148"/>
      <c r="F189" s="155"/>
      <c r="G189" s="144"/>
      <c r="H189" s="144"/>
      <c r="I189" s="144"/>
      <c r="J189" s="145"/>
      <c r="K189" s="145"/>
      <c r="L189" s="154"/>
      <c r="M189" s="155"/>
      <c r="N189" s="144"/>
      <c r="O189" s="144"/>
      <c r="P189" s="144"/>
      <c r="Q189" s="145"/>
      <c r="R189" s="145"/>
      <c r="S189" s="154"/>
      <c r="T189" s="155"/>
      <c r="U189" s="144"/>
      <c r="V189" s="144"/>
    </row>
    <row r="190" spans="1:22" ht="14" x14ac:dyDescent="0.15">
      <c r="A190" s="144"/>
      <c r="B190" s="144"/>
      <c r="C190" s="145"/>
      <c r="D190" s="145"/>
      <c r="E190" s="148"/>
      <c r="F190" s="155"/>
      <c r="G190" s="144"/>
      <c r="H190" s="144"/>
      <c r="I190" s="144"/>
      <c r="J190" s="145"/>
      <c r="K190" s="145"/>
      <c r="L190" s="154"/>
      <c r="M190" s="155"/>
      <c r="N190" s="144"/>
      <c r="O190" s="144"/>
      <c r="P190" s="144"/>
      <c r="Q190" s="145"/>
      <c r="R190" s="145"/>
      <c r="S190" s="154"/>
      <c r="T190" s="155"/>
      <c r="U190" s="144"/>
      <c r="V190" s="144"/>
    </row>
    <row r="191" spans="1:22" ht="14" x14ac:dyDescent="0.15">
      <c r="A191" s="144"/>
      <c r="B191" s="144"/>
      <c r="C191" s="145"/>
      <c r="D191" s="145"/>
      <c r="E191" s="148"/>
      <c r="F191" s="155"/>
      <c r="G191" s="144"/>
      <c r="H191" s="144"/>
      <c r="I191" s="144"/>
      <c r="J191" s="145"/>
      <c r="K191" s="145"/>
      <c r="L191" s="154"/>
      <c r="M191" s="155"/>
      <c r="N191" s="144"/>
      <c r="O191" s="144"/>
      <c r="P191" s="144"/>
      <c r="Q191" s="145"/>
      <c r="R191" s="145"/>
      <c r="S191" s="154"/>
      <c r="T191" s="155"/>
      <c r="U191" s="144"/>
      <c r="V191" s="144"/>
    </row>
    <row r="192" spans="1:22" ht="14" x14ac:dyDescent="0.15">
      <c r="A192" s="144"/>
      <c r="B192" s="144"/>
      <c r="C192" s="145"/>
      <c r="D192" s="145"/>
      <c r="E192" s="148"/>
      <c r="F192" s="155"/>
      <c r="G192" s="144"/>
      <c r="H192" s="144"/>
      <c r="I192" s="144"/>
      <c r="J192" s="145"/>
      <c r="K192" s="145"/>
      <c r="L192" s="154"/>
      <c r="M192" s="155"/>
      <c r="N192" s="144"/>
      <c r="O192" s="144"/>
      <c r="P192" s="144"/>
      <c r="Q192" s="145"/>
      <c r="R192" s="145"/>
      <c r="S192" s="154"/>
      <c r="T192" s="155"/>
      <c r="U192" s="144"/>
      <c r="V192" s="144"/>
    </row>
    <row r="193" spans="1:22" ht="14" x14ac:dyDescent="0.15">
      <c r="A193" s="144"/>
      <c r="B193" s="144"/>
      <c r="C193" s="145"/>
      <c r="D193" s="145"/>
      <c r="E193" s="148"/>
      <c r="F193" s="155"/>
      <c r="G193" s="144"/>
      <c r="H193" s="144"/>
      <c r="I193" s="144"/>
      <c r="J193" s="145"/>
      <c r="K193" s="145"/>
      <c r="L193" s="154"/>
      <c r="M193" s="155"/>
      <c r="N193" s="144"/>
      <c r="O193" s="144"/>
      <c r="P193" s="144"/>
      <c r="Q193" s="145"/>
      <c r="R193" s="145"/>
      <c r="S193" s="154"/>
      <c r="T193" s="155"/>
      <c r="U193" s="144"/>
      <c r="V193" s="144"/>
    </row>
    <row r="194" spans="1:22" ht="14" x14ac:dyDescent="0.15">
      <c r="A194" s="144"/>
      <c r="B194" s="144"/>
      <c r="C194" s="145"/>
      <c r="D194" s="145"/>
      <c r="E194" s="148"/>
      <c r="F194" s="155"/>
      <c r="G194" s="144"/>
      <c r="H194" s="144"/>
      <c r="I194" s="144"/>
      <c r="J194" s="145"/>
      <c r="K194" s="145"/>
      <c r="L194" s="154"/>
      <c r="M194" s="155"/>
      <c r="N194" s="144"/>
      <c r="O194" s="144"/>
      <c r="P194" s="144"/>
      <c r="Q194" s="145"/>
      <c r="R194" s="145"/>
      <c r="S194" s="154"/>
      <c r="T194" s="155"/>
      <c r="U194" s="144"/>
      <c r="V194" s="144"/>
    </row>
    <row r="195" spans="1:22" ht="14" x14ac:dyDescent="0.15">
      <c r="A195" s="144"/>
      <c r="B195" s="144"/>
      <c r="C195" s="145"/>
      <c r="D195" s="145"/>
      <c r="E195" s="148"/>
      <c r="F195" s="155"/>
      <c r="G195" s="144"/>
      <c r="H195" s="144"/>
      <c r="I195" s="144"/>
      <c r="J195" s="145"/>
      <c r="K195" s="145"/>
      <c r="L195" s="154"/>
      <c r="M195" s="155"/>
      <c r="N195" s="144"/>
      <c r="O195" s="144"/>
      <c r="P195" s="144"/>
      <c r="Q195" s="145"/>
      <c r="R195" s="145"/>
      <c r="S195" s="154"/>
      <c r="T195" s="155"/>
      <c r="U195" s="144"/>
      <c r="V195" s="144"/>
    </row>
    <row r="196" spans="1:22" ht="14" x14ac:dyDescent="0.15">
      <c r="A196" s="144"/>
      <c r="B196" s="144"/>
      <c r="C196" s="145"/>
      <c r="D196" s="145"/>
      <c r="E196" s="148"/>
      <c r="F196" s="155"/>
      <c r="G196" s="144"/>
      <c r="H196" s="144"/>
      <c r="I196" s="144"/>
      <c r="J196" s="145"/>
      <c r="K196" s="145"/>
      <c r="L196" s="154"/>
      <c r="M196" s="155"/>
      <c r="N196" s="144"/>
      <c r="O196" s="144"/>
      <c r="P196" s="144"/>
      <c r="Q196" s="145"/>
      <c r="R196" s="145"/>
      <c r="S196" s="154"/>
      <c r="T196" s="155"/>
      <c r="U196" s="144"/>
      <c r="V196" s="144"/>
    </row>
    <row r="197" spans="1:22" ht="14" x14ac:dyDescent="0.15">
      <c r="A197" s="144"/>
      <c r="B197" s="144"/>
      <c r="C197" s="145"/>
      <c r="D197" s="145"/>
      <c r="E197" s="148"/>
      <c r="F197" s="155"/>
      <c r="G197" s="144"/>
      <c r="H197" s="144"/>
      <c r="I197" s="144"/>
      <c r="J197" s="145"/>
      <c r="K197" s="145"/>
      <c r="L197" s="154"/>
      <c r="M197" s="155"/>
      <c r="N197" s="144"/>
      <c r="O197" s="144"/>
      <c r="P197" s="144"/>
      <c r="Q197" s="145"/>
      <c r="R197" s="145"/>
      <c r="S197" s="154"/>
      <c r="T197" s="155"/>
      <c r="U197" s="144"/>
      <c r="V197" s="144"/>
    </row>
    <row r="198" spans="1:22" ht="14" x14ac:dyDescent="0.15">
      <c r="A198" s="144"/>
      <c r="B198" s="144"/>
      <c r="C198" s="145"/>
      <c r="D198" s="145"/>
      <c r="E198" s="148"/>
      <c r="F198" s="155"/>
      <c r="G198" s="144"/>
      <c r="H198" s="144"/>
      <c r="I198" s="144"/>
      <c r="J198" s="145"/>
      <c r="K198" s="145"/>
      <c r="L198" s="154"/>
      <c r="M198" s="155"/>
      <c r="N198" s="144"/>
      <c r="O198" s="144"/>
      <c r="P198" s="144"/>
      <c r="Q198" s="145"/>
      <c r="R198" s="145"/>
      <c r="S198" s="154"/>
      <c r="T198" s="155"/>
      <c r="U198" s="144"/>
      <c r="V198" s="144"/>
    </row>
    <row r="199" spans="1:22" ht="14" x14ac:dyDescent="0.15">
      <c r="A199" s="144"/>
      <c r="B199" s="144"/>
      <c r="C199" s="145"/>
      <c r="D199" s="145"/>
      <c r="E199" s="148"/>
      <c r="F199" s="155"/>
      <c r="G199" s="144"/>
      <c r="H199" s="144"/>
      <c r="I199" s="144"/>
      <c r="J199" s="145"/>
      <c r="K199" s="145"/>
      <c r="L199" s="154"/>
      <c r="M199" s="155"/>
      <c r="N199" s="144"/>
      <c r="O199" s="144"/>
      <c r="P199" s="144"/>
      <c r="Q199" s="145"/>
      <c r="R199" s="145"/>
      <c r="S199" s="154"/>
      <c r="T199" s="155"/>
      <c r="U199" s="144"/>
      <c r="V199" s="144"/>
    </row>
    <row r="200" spans="1:22" ht="14" x14ac:dyDescent="0.15">
      <c r="A200" s="144"/>
      <c r="B200" s="144"/>
      <c r="C200" s="145"/>
      <c r="D200" s="145"/>
      <c r="E200" s="148"/>
      <c r="F200" s="155"/>
      <c r="G200" s="144"/>
      <c r="H200" s="144"/>
      <c r="I200" s="144"/>
      <c r="J200" s="145"/>
      <c r="K200" s="145"/>
      <c r="L200" s="154"/>
      <c r="M200" s="155"/>
      <c r="N200" s="144"/>
      <c r="O200" s="144"/>
      <c r="P200" s="144"/>
      <c r="Q200" s="145"/>
      <c r="R200" s="145"/>
      <c r="S200" s="154"/>
      <c r="T200" s="155"/>
      <c r="U200" s="144"/>
      <c r="V200" s="144"/>
    </row>
    <row r="201" spans="1:22" ht="14" x14ac:dyDescent="0.15">
      <c r="A201" s="144"/>
      <c r="B201" s="144"/>
      <c r="C201" s="145"/>
      <c r="D201" s="145"/>
      <c r="E201" s="148"/>
      <c r="F201" s="155"/>
      <c r="G201" s="144"/>
      <c r="H201" s="144"/>
      <c r="I201" s="144"/>
      <c r="J201" s="145"/>
      <c r="K201" s="145"/>
      <c r="L201" s="154"/>
      <c r="M201" s="155"/>
      <c r="N201" s="144"/>
      <c r="O201" s="144"/>
      <c r="P201" s="144"/>
      <c r="Q201" s="145"/>
      <c r="R201" s="145"/>
      <c r="S201" s="154"/>
      <c r="T201" s="155"/>
      <c r="U201" s="144"/>
      <c r="V201" s="144"/>
    </row>
    <row r="202" spans="1:22" ht="14" x14ac:dyDescent="0.15">
      <c r="A202" s="144"/>
      <c r="B202" s="144"/>
      <c r="C202" s="145"/>
      <c r="D202" s="145"/>
      <c r="E202" s="148"/>
      <c r="F202" s="155"/>
      <c r="G202" s="144"/>
      <c r="H202" s="144"/>
      <c r="I202" s="144"/>
      <c r="J202" s="145"/>
      <c r="K202" s="145"/>
      <c r="L202" s="154"/>
      <c r="M202" s="155"/>
      <c r="N202" s="144"/>
      <c r="O202" s="144"/>
      <c r="P202" s="144"/>
      <c r="Q202" s="145"/>
      <c r="R202" s="145"/>
      <c r="S202" s="154"/>
      <c r="T202" s="155"/>
      <c r="U202" s="144"/>
      <c r="V202" s="144"/>
    </row>
    <row r="203" spans="1:22" ht="14" x14ac:dyDescent="0.15">
      <c r="A203" s="144"/>
      <c r="B203" s="144"/>
      <c r="C203" s="145"/>
      <c r="D203" s="145"/>
      <c r="E203" s="148"/>
      <c r="F203" s="155"/>
      <c r="G203" s="144"/>
      <c r="H203" s="144"/>
      <c r="I203" s="144"/>
      <c r="J203" s="145"/>
      <c r="K203" s="145"/>
      <c r="L203" s="154"/>
      <c r="M203" s="155"/>
      <c r="N203" s="144"/>
      <c r="O203" s="144"/>
      <c r="P203" s="144"/>
      <c r="Q203" s="145"/>
      <c r="R203" s="145"/>
      <c r="S203" s="154"/>
      <c r="T203" s="155"/>
      <c r="U203" s="144"/>
      <c r="V203" s="144"/>
    </row>
    <row r="204" spans="1:22" ht="14" x14ac:dyDescent="0.15">
      <c r="A204" s="144"/>
      <c r="B204" s="144"/>
      <c r="C204" s="145"/>
      <c r="D204" s="145"/>
      <c r="E204" s="148"/>
      <c r="F204" s="155"/>
      <c r="G204" s="144"/>
      <c r="H204" s="144"/>
      <c r="I204" s="144"/>
      <c r="J204" s="145"/>
      <c r="K204" s="145"/>
      <c r="L204" s="154"/>
      <c r="M204" s="155"/>
      <c r="N204" s="144"/>
      <c r="O204" s="144"/>
      <c r="P204" s="144"/>
      <c r="Q204" s="145"/>
      <c r="R204" s="145"/>
      <c r="S204" s="154"/>
      <c r="T204" s="155"/>
      <c r="U204" s="144"/>
      <c r="V204" s="144"/>
    </row>
    <row r="205" spans="1:22" ht="14" x14ac:dyDescent="0.15">
      <c r="A205" s="144"/>
      <c r="B205" s="144"/>
      <c r="C205" s="145"/>
      <c r="D205" s="145"/>
      <c r="E205" s="148"/>
      <c r="F205" s="155"/>
      <c r="G205" s="144"/>
      <c r="H205" s="144"/>
      <c r="I205" s="144"/>
      <c r="J205" s="145"/>
      <c r="K205" s="145"/>
      <c r="L205" s="154"/>
      <c r="M205" s="155"/>
      <c r="N205" s="144"/>
      <c r="O205" s="144"/>
      <c r="P205" s="144"/>
      <c r="Q205" s="145"/>
      <c r="R205" s="145"/>
      <c r="S205" s="154"/>
      <c r="T205" s="155"/>
      <c r="U205" s="144"/>
      <c r="V205" s="144"/>
    </row>
    <row r="206" spans="1:22" ht="14" x14ac:dyDescent="0.15">
      <c r="A206" s="144"/>
      <c r="B206" s="144"/>
      <c r="C206" s="145"/>
      <c r="D206" s="145"/>
      <c r="E206" s="148"/>
      <c r="F206" s="155"/>
      <c r="G206" s="144"/>
      <c r="H206" s="144"/>
      <c r="I206" s="144"/>
      <c r="J206" s="145"/>
      <c r="K206" s="145"/>
      <c r="L206" s="154"/>
      <c r="M206" s="155"/>
      <c r="N206" s="144"/>
      <c r="O206" s="144"/>
      <c r="P206" s="144"/>
      <c r="Q206" s="145"/>
      <c r="R206" s="145"/>
      <c r="S206" s="154"/>
      <c r="T206" s="155"/>
      <c r="U206" s="144"/>
      <c r="V206" s="144"/>
    </row>
    <row r="207" spans="1:22" ht="14" x14ac:dyDescent="0.15">
      <c r="A207" s="144"/>
      <c r="B207" s="144"/>
      <c r="C207" s="145"/>
      <c r="D207" s="145"/>
      <c r="E207" s="148"/>
      <c r="F207" s="155"/>
      <c r="G207" s="144"/>
      <c r="H207" s="144"/>
      <c r="I207" s="144"/>
      <c r="J207" s="145"/>
      <c r="K207" s="145"/>
      <c r="L207" s="154"/>
      <c r="M207" s="155"/>
      <c r="N207" s="144"/>
      <c r="O207" s="144"/>
      <c r="P207" s="144"/>
      <c r="Q207" s="145"/>
      <c r="R207" s="145"/>
      <c r="S207" s="154"/>
      <c r="T207" s="155"/>
      <c r="U207" s="144"/>
      <c r="V207" s="144"/>
    </row>
    <row r="208" spans="1:22" ht="14" x14ac:dyDescent="0.15">
      <c r="A208" s="144"/>
      <c r="B208" s="144"/>
      <c r="C208" s="145"/>
      <c r="D208" s="145"/>
      <c r="E208" s="148"/>
      <c r="F208" s="155"/>
      <c r="G208" s="144"/>
      <c r="H208" s="144"/>
      <c r="I208" s="144"/>
      <c r="J208" s="145"/>
      <c r="K208" s="145"/>
      <c r="L208" s="154"/>
      <c r="M208" s="155"/>
      <c r="N208" s="144"/>
      <c r="O208" s="144"/>
      <c r="P208" s="144"/>
      <c r="Q208" s="145"/>
      <c r="R208" s="145"/>
      <c r="S208" s="154"/>
      <c r="T208" s="155"/>
      <c r="U208" s="144"/>
      <c r="V208" s="144"/>
    </row>
    <row r="209" spans="1:22" ht="14" x14ac:dyDescent="0.15">
      <c r="A209" s="144"/>
      <c r="B209" s="144"/>
      <c r="C209" s="145"/>
      <c r="D209" s="145"/>
      <c r="E209" s="148"/>
      <c r="F209" s="155"/>
      <c r="G209" s="144"/>
      <c r="H209" s="144"/>
      <c r="I209" s="144"/>
      <c r="J209" s="145"/>
      <c r="K209" s="145"/>
      <c r="L209" s="154"/>
      <c r="M209" s="155"/>
      <c r="N209" s="144"/>
      <c r="O209" s="144"/>
      <c r="P209" s="144"/>
      <c r="Q209" s="145"/>
      <c r="R209" s="145"/>
      <c r="S209" s="154"/>
      <c r="T209" s="155"/>
      <c r="U209" s="144"/>
      <c r="V209" s="144"/>
    </row>
    <row r="210" spans="1:22" ht="14" x14ac:dyDescent="0.15">
      <c r="A210" s="144"/>
      <c r="B210" s="144"/>
      <c r="C210" s="145"/>
      <c r="D210" s="145"/>
      <c r="E210" s="148"/>
      <c r="F210" s="155"/>
      <c r="G210" s="144"/>
      <c r="H210" s="144"/>
      <c r="I210" s="144"/>
      <c r="J210" s="145"/>
      <c r="K210" s="145"/>
      <c r="L210" s="154"/>
      <c r="M210" s="155"/>
      <c r="N210" s="144"/>
      <c r="O210" s="144"/>
      <c r="P210" s="144"/>
      <c r="Q210" s="145"/>
      <c r="R210" s="145"/>
      <c r="S210" s="154"/>
      <c r="T210" s="155"/>
      <c r="U210" s="144"/>
      <c r="V210" s="144"/>
    </row>
    <row r="211" spans="1:22" ht="14" x14ac:dyDescent="0.15">
      <c r="A211" s="144"/>
      <c r="B211" s="144"/>
      <c r="C211" s="145"/>
      <c r="D211" s="145"/>
      <c r="E211" s="148"/>
      <c r="F211" s="155"/>
      <c r="G211" s="144"/>
      <c r="H211" s="144"/>
      <c r="I211" s="144"/>
      <c r="J211" s="145"/>
      <c r="K211" s="145"/>
      <c r="L211" s="154"/>
      <c r="M211" s="155"/>
      <c r="N211" s="144"/>
      <c r="O211" s="144"/>
      <c r="P211" s="144"/>
      <c r="Q211" s="145"/>
      <c r="R211" s="145"/>
      <c r="S211" s="154"/>
      <c r="T211" s="155"/>
      <c r="U211" s="144"/>
      <c r="V211" s="144"/>
    </row>
    <row r="212" spans="1:22" ht="14" x14ac:dyDescent="0.15">
      <c r="A212" s="144"/>
      <c r="B212" s="144"/>
      <c r="C212" s="145"/>
      <c r="D212" s="145"/>
      <c r="E212" s="148"/>
      <c r="F212" s="155"/>
      <c r="G212" s="144"/>
      <c r="H212" s="144"/>
      <c r="I212" s="144"/>
      <c r="J212" s="145"/>
      <c r="K212" s="145"/>
      <c r="L212" s="154"/>
      <c r="M212" s="155"/>
      <c r="N212" s="144"/>
      <c r="O212" s="144"/>
      <c r="P212" s="144"/>
      <c r="Q212" s="145"/>
      <c r="R212" s="145"/>
      <c r="S212" s="154"/>
      <c r="T212" s="155"/>
      <c r="U212" s="144"/>
      <c r="V212" s="144"/>
    </row>
    <row r="213" spans="1:22" ht="14" x14ac:dyDescent="0.15">
      <c r="A213" s="144"/>
      <c r="B213" s="144"/>
      <c r="C213" s="145"/>
      <c r="D213" s="145"/>
      <c r="E213" s="148"/>
      <c r="F213" s="155"/>
      <c r="G213" s="144"/>
      <c r="H213" s="144"/>
      <c r="I213" s="144"/>
      <c r="J213" s="145"/>
      <c r="K213" s="145"/>
      <c r="L213" s="154"/>
      <c r="M213" s="155"/>
      <c r="N213" s="144"/>
      <c r="O213" s="144"/>
      <c r="P213" s="144"/>
      <c r="Q213" s="145"/>
      <c r="R213" s="145"/>
      <c r="S213" s="154"/>
      <c r="T213" s="155"/>
      <c r="U213" s="144"/>
      <c r="V213" s="144"/>
    </row>
    <row r="214" spans="1:22" ht="14" x14ac:dyDescent="0.15">
      <c r="A214" s="144"/>
      <c r="B214" s="144"/>
      <c r="C214" s="145"/>
      <c r="D214" s="145"/>
      <c r="E214" s="148"/>
      <c r="F214" s="155"/>
      <c r="G214" s="144"/>
      <c r="H214" s="144"/>
      <c r="I214" s="144"/>
      <c r="J214" s="145"/>
      <c r="K214" s="145"/>
      <c r="L214" s="154"/>
      <c r="M214" s="155"/>
      <c r="N214" s="144"/>
      <c r="O214" s="144"/>
      <c r="P214" s="144"/>
      <c r="Q214" s="145"/>
      <c r="R214" s="145"/>
      <c r="S214" s="154"/>
      <c r="T214" s="155"/>
      <c r="U214" s="144"/>
      <c r="V214" s="144"/>
    </row>
    <row r="215" spans="1:22" ht="14" x14ac:dyDescent="0.15">
      <c r="A215" s="144"/>
      <c r="B215" s="144"/>
      <c r="C215" s="145"/>
      <c r="D215" s="145"/>
      <c r="E215" s="148"/>
      <c r="F215" s="155"/>
      <c r="G215" s="144"/>
      <c r="H215" s="144"/>
      <c r="I215" s="144"/>
      <c r="J215" s="145"/>
      <c r="K215" s="145"/>
      <c r="L215" s="154"/>
      <c r="M215" s="155"/>
      <c r="N215" s="144"/>
      <c r="O215" s="144"/>
      <c r="P215" s="144"/>
      <c r="Q215" s="145"/>
      <c r="R215" s="145"/>
      <c r="S215" s="154"/>
      <c r="T215" s="155"/>
      <c r="U215" s="144"/>
      <c r="V215" s="144"/>
    </row>
    <row r="216" spans="1:22" ht="14" x14ac:dyDescent="0.15">
      <c r="A216" s="144"/>
      <c r="B216" s="144"/>
      <c r="C216" s="145"/>
      <c r="D216" s="145"/>
      <c r="E216" s="148"/>
      <c r="F216" s="155"/>
      <c r="G216" s="144"/>
      <c r="H216" s="144"/>
      <c r="I216" s="144"/>
      <c r="J216" s="145"/>
      <c r="K216" s="145"/>
      <c r="L216" s="154"/>
      <c r="M216" s="155"/>
      <c r="N216" s="144"/>
      <c r="O216" s="144"/>
      <c r="P216" s="144"/>
      <c r="Q216" s="145"/>
      <c r="R216" s="145"/>
      <c r="S216" s="154"/>
      <c r="T216" s="155"/>
      <c r="U216" s="144"/>
      <c r="V216" s="144"/>
    </row>
    <row r="217" spans="1:22" ht="14" x14ac:dyDescent="0.15">
      <c r="A217" s="144"/>
      <c r="B217" s="144"/>
      <c r="C217" s="145"/>
      <c r="D217" s="145"/>
      <c r="E217" s="148"/>
      <c r="F217" s="155"/>
      <c r="G217" s="144"/>
      <c r="H217" s="144"/>
      <c r="I217" s="144"/>
      <c r="J217" s="145"/>
      <c r="K217" s="145"/>
      <c r="L217" s="154"/>
      <c r="M217" s="155"/>
      <c r="N217" s="144"/>
      <c r="O217" s="144"/>
      <c r="P217" s="144"/>
      <c r="Q217" s="145"/>
      <c r="R217" s="145"/>
      <c r="S217" s="154"/>
      <c r="T217" s="155"/>
      <c r="U217" s="144"/>
      <c r="V217" s="144"/>
    </row>
    <row r="218" spans="1:22" ht="14" x14ac:dyDescent="0.15">
      <c r="A218" s="144"/>
      <c r="B218" s="144"/>
      <c r="C218" s="145"/>
      <c r="D218" s="145"/>
      <c r="E218" s="148"/>
      <c r="F218" s="155"/>
      <c r="G218" s="144"/>
      <c r="H218" s="144"/>
      <c r="I218" s="144"/>
      <c r="J218" s="145"/>
      <c r="K218" s="145"/>
      <c r="L218" s="154"/>
      <c r="M218" s="155"/>
      <c r="N218" s="144"/>
      <c r="O218" s="144"/>
      <c r="P218" s="144"/>
      <c r="Q218" s="145"/>
      <c r="R218" s="145"/>
      <c r="S218" s="154"/>
      <c r="T218" s="155"/>
      <c r="U218" s="144"/>
      <c r="V218" s="144"/>
    </row>
    <row r="219" spans="1:22" ht="14" x14ac:dyDescent="0.15">
      <c r="A219" s="144"/>
      <c r="B219" s="144"/>
      <c r="C219" s="145"/>
      <c r="D219" s="145"/>
      <c r="E219" s="148"/>
      <c r="F219" s="155"/>
      <c r="G219" s="144"/>
      <c r="H219" s="144"/>
      <c r="I219" s="144"/>
      <c r="J219" s="145"/>
      <c r="K219" s="145"/>
      <c r="L219" s="154"/>
      <c r="M219" s="155"/>
      <c r="N219" s="144"/>
      <c r="O219" s="144"/>
      <c r="P219" s="144"/>
      <c r="Q219" s="145"/>
      <c r="R219" s="145"/>
      <c r="S219" s="154"/>
      <c r="T219" s="155"/>
      <c r="U219" s="144"/>
      <c r="V219" s="144"/>
    </row>
    <row r="220" spans="1:22" ht="14" x14ac:dyDescent="0.15">
      <c r="A220" s="144"/>
      <c r="B220" s="144"/>
      <c r="C220" s="145"/>
      <c r="D220" s="145"/>
      <c r="E220" s="148"/>
      <c r="F220" s="155"/>
      <c r="G220" s="144"/>
      <c r="H220" s="144"/>
      <c r="I220" s="144"/>
      <c r="J220" s="145"/>
      <c r="K220" s="145"/>
      <c r="L220" s="154"/>
      <c r="M220" s="155"/>
      <c r="N220" s="144"/>
      <c r="O220" s="144"/>
      <c r="P220" s="144"/>
      <c r="Q220" s="145"/>
      <c r="R220" s="145"/>
      <c r="S220" s="154"/>
      <c r="T220" s="155"/>
      <c r="U220" s="144"/>
      <c r="V220" s="144"/>
    </row>
    <row r="221" spans="1:22" ht="14" x14ac:dyDescent="0.15">
      <c r="A221" s="144"/>
      <c r="B221" s="144"/>
      <c r="C221" s="145"/>
      <c r="D221" s="145"/>
      <c r="E221" s="148"/>
      <c r="F221" s="155"/>
      <c r="G221" s="144"/>
      <c r="H221" s="144"/>
      <c r="I221" s="144"/>
      <c r="J221" s="145"/>
      <c r="K221" s="145"/>
      <c r="L221" s="154"/>
      <c r="M221" s="155"/>
      <c r="N221" s="144"/>
      <c r="O221" s="144"/>
      <c r="P221" s="144"/>
      <c r="Q221" s="145"/>
      <c r="R221" s="145"/>
      <c r="S221" s="154"/>
      <c r="T221" s="155"/>
      <c r="U221" s="144"/>
      <c r="V221" s="144"/>
    </row>
    <row r="222" spans="1:22" ht="14" x14ac:dyDescent="0.15">
      <c r="A222" s="144"/>
      <c r="B222" s="144"/>
      <c r="C222" s="145"/>
      <c r="D222" s="145"/>
      <c r="E222" s="148"/>
      <c r="F222" s="155"/>
      <c r="G222" s="144"/>
      <c r="H222" s="144"/>
      <c r="I222" s="144"/>
      <c r="J222" s="145"/>
      <c r="K222" s="145"/>
      <c r="L222" s="154"/>
      <c r="M222" s="155"/>
      <c r="N222" s="144"/>
      <c r="O222" s="144"/>
      <c r="P222" s="144"/>
      <c r="Q222" s="145"/>
      <c r="R222" s="145"/>
      <c r="S222" s="154"/>
      <c r="T222" s="155"/>
      <c r="U222" s="144"/>
      <c r="V222" s="144"/>
    </row>
    <row r="223" spans="1:22" ht="14" x14ac:dyDescent="0.15">
      <c r="A223" s="144"/>
      <c r="B223" s="144"/>
      <c r="C223" s="145"/>
      <c r="D223" s="145"/>
      <c r="E223" s="148"/>
      <c r="F223" s="155"/>
      <c r="G223" s="144"/>
      <c r="H223" s="144"/>
      <c r="I223" s="144"/>
      <c r="J223" s="145"/>
      <c r="K223" s="145"/>
      <c r="L223" s="154"/>
      <c r="M223" s="155"/>
      <c r="N223" s="144"/>
      <c r="O223" s="144"/>
      <c r="P223" s="144"/>
      <c r="Q223" s="145"/>
      <c r="R223" s="145"/>
      <c r="S223" s="154"/>
      <c r="T223" s="155"/>
      <c r="U223" s="144"/>
      <c r="V223" s="144"/>
    </row>
    <row r="224" spans="1:22" ht="14" x14ac:dyDescent="0.15">
      <c r="A224" s="144"/>
      <c r="B224" s="144"/>
      <c r="C224" s="145"/>
      <c r="D224" s="145"/>
      <c r="E224" s="148"/>
      <c r="F224" s="155"/>
      <c r="G224" s="144"/>
      <c r="H224" s="144"/>
      <c r="I224" s="144"/>
      <c r="J224" s="145"/>
      <c r="K224" s="145"/>
      <c r="L224" s="154"/>
      <c r="M224" s="155"/>
      <c r="N224" s="144"/>
      <c r="O224" s="144"/>
      <c r="P224" s="144"/>
      <c r="Q224" s="145"/>
      <c r="R224" s="145"/>
      <c r="S224" s="154"/>
      <c r="T224" s="155"/>
      <c r="U224" s="144"/>
      <c r="V224" s="144"/>
    </row>
    <row r="225" spans="1:22" ht="14" x14ac:dyDescent="0.15">
      <c r="A225" s="144"/>
      <c r="B225" s="144"/>
      <c r="C225" s="145"/>
      <c r="D225" s="145"/>
      <c r="E225" s="148"/>
      <c r="F225" s="155"/>
      <c r="G225" s="144"/>
      <c r="H225" s="144"/>
      <c r="I225" s="144"/>
      <c r="J225" s="145"/>
      <c r="K225" s="145"/>
      <c r="L225" s="154"/>
      <c r="M225" s="155"/>
      <c r="N225" s="144"/>
      <c r="O225" s="144"/>
      <c r="P225" s="144"/>
      <c r="Q225" s="145"/>
      <c r="R225" s="145"/>
      <c r="S225" s="154"/>
      <c r="T225" s="155"/>
      <c r="U225" s="144"/>
      <c r="V225" s="144"/>
    </row>
    <row r="226" spans="1:22" ht="14" x14ac:dyDescent="0.15">
      <c r="A226" s="144"/>
      <c r="B226" s="144"/>
      <c r="C226" s="145"/>
      <c r="D226" s="145"/>
      <c r="E226" s="148"/>
      <c r="F226" s="155"/>
      <c r="G226" s="144"/>
      <c r="H226" s="144"/>
      <c r="I226" s="144"/>
      <c r="J226" s="145"/>
      <c r="K226" s="145"/>
      <c r="L226" s="154"/>
      <c r="M226" s="155"/>
      <c r="N226" s="144"/>
      <c r="O226" s="144"/>
      <c r="P226" s="144"/>
      <c r="Q226" s="145"/>
      <c r="R226" s="145"/>
      <c r="S226" s="154"/>
      <c r="T226" s="155"/>
      <c r="U226" s="144"/>
      <c r="V226" s="144"/>
    </row>
    <row r="227" spans="1:22" ht="14" x14ac:dyDescent="0.15">
      <c r="A227" s="144"/>
      <c r="B227" s="144"/>
      <c r="C227" s="145"/>
      <c r="D227" s="145"/>
      <c r="E227" s="148"/>
      <c r="F227" s="155"/>
      <c r="G227" s="144"/>
      <c r="H227" s="144"/>
      <c r="I227" s="144"/>
      <c r="J227" s="145"/>
      <c r="K227" s="145"/>
      <c r="L227" s="154"/>
      <c r="M227" s="155"/>
      <c r="N227" s="144"/>
      <c r="O227" s="144"/>
      <c r="P227" s="144"/>
      <c r="Q227" s="145"/>
      <c r="R227" s="145"/>
      <c r="S227" s="154"/>
      <c r="T227" s="155"/>
      <c r="U227" s="144"/>
      <c r="V227" s="144"/>
    </row>
    <row r="228" spans="1:22" ht="14" x14ac:dyDescent="0.15">
      <c r="A228" s="144"/>
      <c r="B228" s="144"/>
      <c r="C228" s="145"/>
      <c r="D228" s="145"/>
      <c r="E228" s="148"/>
      <c r="F228" s="155"/>
      <c r="G228" s="144"/>
      <c r="H228" s="144"/>
      <c r="I228" s="144"/>
      <c r="J228" s="145"/>
      <c r="K228" s="145"/>
      <c r="L228" s="154"/>
      <c r="M228" s="155"/>
      <c r="N228" s="144"/>
      <c r="O228" s="144"/>
      <c r="P228" s="144"/>
      <c r="Q228" s="145"/>
      <c r="R228" s="145"/>
      <c r="S228" s="154"/>
      <c r="T228" s="155"/>
      <c r="U228" s="144"/>
      <c r="V228" s="144"/>
    </row>
    <row r="229" spans="1:22" ht="14" x14ac:dyDescent="0.15">
      <c r="A229" s="144"/>
      <c r="B229" s="144"/>
      <c r="C229" s="145"/>
      <c r="D229" s="145"/>
      <c r="E229" s="148"/>
      <c r="F229" s="155"/>
      <c r="G229" s="144"/>
      <c r="H229" s="144"/>
      <c r="I229" s="144"/>
      <c r="J229" s="145"/>
      <c r="K229" s="145"/>
      <c r="L229" s="154"/>
      <c r="M229" s="155"/>
      <c r="N229" s="144"/>
      <c r="O229" s="144"/>
      <c r="P229" s="144"/>
      <c r="Q229" s="145"/>
      <c r="R229" s="145"/>
      <c r="S229" s="154"/>
      <c r="T229" s="155"/>
      <c r="U229" s="144"/>
      <c r="V229" s="144"/>
    </row>
    <row r="230" spans="1:22" ht="14" x14ac:dyDescent="0.15">
      <c r="A230" s="144"/>
      <c r="B230" s="144"/>
      <c r="C230" s="145"/>
      <c r="D230" s="145"/>
      <c r="E230" s="148"/>
      <c r="F230" s="155"/>
      <c r="G230" s="144"/>
      <c r="H230" s="144"/>
      <c r="I230" s="144"/>
      <c r="J230" s="145"/>
      <c r="K230" s="145"/>
      <c r="L230" s="154"/>
      <c r="M230" s="155"/>
      <c r="N230" s="144"/>
      <c r="O230" s="144"/>
      <c r="P230" s="144"/>
      <c r="Q230" s="145"/>
      <c r="R230" s="145"/>
      <c r="S230" s="154"/>
      <c r="T230" s="155"/>
      <c r="U230" s="144"/>
      <c r="V230" s="144"/>
    </row>
    <row r="231" spans="1:22" ht="14" x14ac:dyDescent="0.15">
      <c r="A231" s="144"/>
      <c r="B231" s="144"/>
      <c r="C231" s="145"/>
      <c r="D231" s="145"/>
      <c r="E231" s="148"/>
      <c r="F231" s="155"/>
      <c r="G231" s="144"/>
      <c r="H231" s="144"/>
      <c r="I231" s="144"/>
      <c r="J231" s="145"/>
      <c r="K231" s="145"/>
      <c r="L231" s="154"/>
      <c r="M231" s="155"/>
      <c r="N231" s="144"/>
      <c r="O231" s="144"/>
      <c r="P231" s="144"/>
      <c r="Q231" s="145"/>
      <c r="R231" s="145"/>
      <c r="S231" s="154"/>
      <c r="T231" s="155"/>
      <c r="U231" s="144"/>
      <c r="V231" s="144"/>
    </row>
    <row r="232" spans="1:22" ht="14" x14ac:dyDescent="0.15">
      <c r="A232" s="144"/>
      <c r="B232" s="144"/>
      <c r="C232" s="145"/>
      <c r="D232" s="145"/>
      <c r="E232" s="148"/>
      <c r="F232" s="155"/>
      <c r="G232" s="144"/>
      <c r="H232" s="144"/>
      <c r="I232" s="144"/>
      <c r="J232" s="145"/>
      <c r="K232" s="145"/>
      <c r="L232" s="154"/>
      <c r="M232" s="155"/>
      <c r="N232" s="144"/>
      <c r="O232" s="144"/>
      <c r="P232" s="144"/>
      <c r="Q232" s="145"/>
      <c r="R232" s="145"/>
      <c r="S232" s="154"/>
      <c r="T232" s="155"/>
      <c r="U232" s="144"/>
      <c r="V232" s="144"/>
    </row>
    <row r="233" spans="1:22" ht="14" x14ac:dyDescent="0.15">
      <c r="A233" s="144"/>
      <c r="B233" s="144"/>
      <c r="C233" s="145"/>
      <c r="D233" s="145"/>
      <c r="E233" s="148"/>
      <c r="F233" s="155"/>
      <c r="G233" s="144"/>
      <c r="H233" s="144"/>
      <c r="I233" s="144"/>
      <c r="J233" s="145"/>
      <c r="K233" s="145"/>
      <c r="L233" s="154"/>
      <c r="M233" s="155"/>
      <c r="N233" s="144"/>
      <c r="O233" s="144"/>
      <c r="P233" s="144"/>
      <c r="Q233" s="145"/>
      <c r="R233" s="145"/>
      <c r="S233" s="154"/>
      <c r="T233" s="155"/>
      <c r="U233" s="144"/>
      <c r="V233" s="144"/>
    </row>
    <row r="234" spans="1:22" ht="14" x14ac:dyDescent="0.15">
      <c r="A234" s="144"/>
      <c r="B234" s="144"/>
      <c r="C234" s="145"/>
      <c r="D234" s="145"/>
      <c r="E234" s="148"/>
      <c r="F234" s="155"/>
      <c r="G234" s="144"/>
      <c r="H234" s="144"/>
      <c r="I234" s="144"/>
      <c r="J234" s="145"/>
      <c r="K234" s="145"/>
      <c r="L234" s="154"/>
      <c r="M234" s="155"/>
      <c r="N234" s="144"/>
      <c r="O234" s="144"/>
      <c r="P234" s="144"/>
      <c r="Q234" s="145"/>
      <c r="R234" s="145"/>
      <c r="S234" s="154"/>
      <c r="T234" s="155"/>
      <c r="U234" s="144"/>
      <c r="V234" s="144"/>
    </row>
    <row r="235" spans="1:22" ht="14" x14ac:dyDescent="0.15">
      <c r="A235" s="144"/>
      <c r="B235" s="144"/>
      <c r="C235" s="145"/>
      <c r="D235" s="145"/>
      <c r="E235" s="148"/>
      <c r="F235" s="155"/>
      <c r="G235" s="144"/>
      <c r="H235" s="144"/>
      <c r="I235" s="144"/>
      <c r="J235" s="145"/>
      <c r="K235" s="145"/>
      <c r="L235" s="154"/>
      <c r="M235" s="155"/>
      <c r="N235" s="144"/>
      <c r="O235" s="144"/>
      <c r="P235" s="144"/>
      <c r="Q235" s="145"/>
      <c r="R235" s="145"/>
      <c r="S235" s="154"/>
      <c r="T235" s="155"/>
      <c r="U235" s="144"/>
      <c r="V235" s="144"/>
    </row>
    <row r="236" spans="1:22" ht="14" x14ac:dyDescent="0.15">
      <c r="A236" s="144"/>
      <c r="B236" s="144"/>
      <c r="C236" s="145"/>
      <c r="D236" s="145"/>
      <c r="E236" s="148"/>
      <c r="F236" s="155"/>
      <c r="G236" s="144"/>
      <c r="H236" s="144"/>
      <c r="I236" s="144"/>
      <c r="J236" s="145"/>
      <c r="K236" s="145"/>
      <c r="L236" s="154"/>
      <c r="M236" s="155"/>
      <c r="N236" s="144"/>
      <c r="O236" s="144"/>
      <c r="P236" s="144"/>
      <c r="Q236" s="145"/>
      <c r="R236" s="145"/>
      <c r="S236" s="154"/>
      <c r="T236" s="155"/>
      <c r="U236" s="144"/>
      <c r="V236" s="144"/>
    </row>
    <row r="237" spans="1:22" ht="14" x14ac:dyDescent="0.15">
      <c r="A237" s="144"/>
      <c r="B237" s="144"/>
      <c r="C237" s="145"/>
      <c r="D237" s="145"/>
      <c r="E237" s="148"/>
      <c r="F237" s="155"/>
      <c r="G237" s="144"/>
      <c r="H237" s="144"/>
      <c r="I237" s="144"/>
      <c r="J237" s="145"/>
      <c r="K237" s="145"/>
      <c r="L237" s="154"/>
      <c r="M237" s="155"/>
      <c r="N237" s="144"/>
      <c r="O237" s="144"/>
      <c r="P237" s="144"/>
      <c r="Q237" s="145"/>
      <c r="R237" s="145"/>
      <c r="S237" s="154"/>
      <c r="T237" s="155"/>
      <c r="U237" s="144"/>
      <c r="V237" s="144"/>
    </row>
    <row r="238" spans="1:22" ht="14" x14ac:dyDescent="0.15">
      <c r="A238" s="144"/>
      <c r="B238" s="144"/>
      <c r="C238" s="145"/>
      <c r="D238" s="145"/>
      <c r="E238" s="148"/>
      <c r="F238" s="155"/>
      <c r="G238" s="144"/>
      <c r="H238" s="144"/>
      <c r="I238" s="144"/>
      <c r="J238" s="145"/>
      <c r="K238" s="145"/>
      <c r="L238" s="154"/>
      <c r="M238" s="155"/>
      <c r="N238" s="144"/>
      <c r="O238" s="144"/>
      <c r="P238" s="144"/>
      <c r="Q238" s="145"/>
      <c r="R238" s="145"/>
      <c r="S238" s="154"/>
      <c r="T238" s="155"/>
      <c r="U238" s="144"/>
      <c r="V238" s="144"/>
    </row>
    <row r="239" spans="1:22" ht="14" x14ac:dyDescent="0.15">
      <c r="A239" s="144"/>
      <c r="B239" s="144"/>
      <c r="C239" s="145"/>
      <c r="D239" s="145"/>
      <c r="E239" s="148"/>
      <c r="F239" s="155"/>
      <c r="G239" s="144"/>
      <c r="H239" s="144"/>
      <c r="I239" s="144"/>
      <c r="J239" s="145"/>
      <c r="K239" s="145"/>
      <c r="L239" s="154"/>
      <c r="M239" s="155"/>
      <c r="N239" s="144"/>
      <c r="O239" s="144"/>
      <c r="P239" s="144"/>
      <c r="Q239" s="145"/>
      <c r="R239" s="145"/>
      <c r="S239" s="154"/>
      <c r="T239" s="155"/>
      <c r="U239" s="144"/>
      <c r="V239" s="144"/>
    </row>
    <row r="240" spans="1:22" ht="14" x14ac:dyDescent="0.15">
      <c r="A240" s="144"/>
      <c r="B240" s="144"/>
      <c r="C240" s="145"/>
      <c r="D240" s="145"/>
      <c r="E240" s="148"/>
      <c r="F240" s="155"/>
      <c r="G240" s="144"/>
      <c r="H240" s="144"/>
      <c r="I240" s="144"/>
      <c r="J240" s="145"/>
      <c r="K240" s="145"/>
      <c r="L240" s="154"/>
      <c r="M240" s="155"/>
      <c r="N240" s="144"/>
      <c r="O240" s="144"/>
      <c r="P240" s="144"/>
      <c r="Q240" s="145"/>
      <c r="R240" s="145"/>
      <c r="S240" s="154"/>
      <c r="T240" s="155"/>
      <c r="U240" s="144"/>
      <c r="V240" s="144"/>
    </row>
    <row r="241" spans="1:22" ht="14" x14ac:dyDescent="0.15">
      <c r="A241" s="144"/>
      <c r="B241" s="144"/>
      <c r="C241" s="145"/>
      <c r="D241" s="145"/>
      <c r="E241" s="148"/>
      <c r="F241" s="155"/>
      <c r="G241" s="144"/>
      <c r="H241" s="144"/>
      <c r="I241" s="144"/>
      <c r="J241" s="145"/>
      <c r="K241" s="145"/>
      <c r="L241" s="154"/>
      <c r="M241" s="155"/>
      <c r="N241" s="144"/>
      <c r="O241" s="144"/>
      <c r="P241" s="144"/>
      <c r="Q241" s="145"/>
      <c r="R241" s="145"/>
      <c r="S241" s="154"/>
      <c r="T241" s="155"/>
      <c r="U241" s="144"/>
      <c r="V241" s="144"/>
    </row>
    <row r="242" spans="1:22" ht="14" x14ac:dyDescent="0.15">
      <c r="A242" s="144"/>
      <c r="B242" s="144"/>
      <c r="C242" s="145"/>
      <c r="D242" s="145"/>
      <c r="E242" s="148"/>
      <c r="F242" s="155"/>
      <c r="G242" s="144"/>
      <c r="H242" s="144"/>
      <c r="I242" s="144"/>
      <c r="J242" s="145"/>
      <c r="K242" s="145"/>
      <c r="L242" s="154"/>
      <c r="M242" s="155"/>
      <c r="N242" s="144"/>
      <c r="O242" s="144"/>
      <c r="P242" s="144"/>
      <c r="Q242" s="145"/>
      <c r="R242" s="145"/>
      <c r="S242" s="154"/>
      <c r="T242" s="155"/>
      <c r="U242" s="144"/>
      <c r="V242" s="144"/>
    </row>
    <row r="243" spans="1:22" ht="14" x14ac:dyDescent="0.15">
      <c r="A243" s="144"/>
      <c r="B243" s="144"/>
      <c r="C243" s="145"/>
      <c r="D243" s="145"/>
      <c r="E243" s="148"/>
      <c r="F243" s="155"/>
      <c r="G243" s="144"/>
      <c r="H243" s="144"/>
      <c r="I243" s="144"/>
      <c r="J243" s="145"/>
      <c r="K243" s="145"/>
      <c r="L243" s="154"/>
      <c r="M243" s="155"/>
      <c r="N243" s="144"/>
      <c r="O243" s="144"/>
      <c r="P243" s="144"/>
      <c r="Q243" s="145"/>
      <c r="R243" s="145"/>
      <c r="S243" s="154"/>
      <c r="T243" s="155"/>
      <c r="U243" s="144"/>
      <c r="V243" s="144"/>
    </row>
    <row r="244" spans="1:22" ht="14" x14ac:dyDescent="0.15">
      <c r="A244" s="144"/>
      <c r="B244" s="144"/>
      <c r="C244" s="145"/>
      <c r="D244" s="145"/>
      <c r="E244" s="148"/>
      <c r="F244" s="155"/>
      <c r="G244" s="144"/>
      <c r="H244" s="144"/>
      <c r="I244" s="144"/>
      <c r="J244" s="145"/>
      <c r="K244" s="145"/>
      <c r="L244" s="154"/>
      <c r="M244" s="155"/>
      <c r="N244" s="144"/>
      <c r="O244" s="144"/>
      <c r="P244" s="144"/>
      <c r="Q244" s="145"/>
      <c r="R244" s="145"/>
      <c r="S244" s="154"/>
      <c r="T244" s="155"/>
      <c r="U244" s="144"/>
      <c r="V244" s="144"/>
    </row>
    <row r="245" spans="1:22" ht="14" x14ac:dyDescent="0.15">
      <c r="A245" s="144"/>
      <c r="B245" s="144"/>
      <c r="C245" s="145"/>
      <c r="D245" s="145"/>
      <c r="E245" s="148"/>
      <c r="F245" s="155"/>
      <c r="G245" s="144"/>
      <c r="H245" s="144"/>
      <c r="I245" s="144"/>
      <c r="J245" s="145"/>
      <c r="K245" s="145"/>
      <c r="L245" s="154"/>
      <c r="M245" s="155"/>
      <c r="N245" s="144"/>
      <c r="O245" s="144"/>
      <c r="P245" s="144"/>
      <c r="Q245" s="145"/>
      <c r="R245" s="145"/>
      <c r="S245" s="154"/>
      <c r="T245" s="155"/>
      <c r="U245" s="144"/>
      <c r="V245" s="144"/>
    </row>
    <row r="246" spans="1:22" ht="14" x14ac:dyDescent="0.15">
      <c r="A246" s="144"/>
      <c r="B246" s="144"/>
      <c r="C246" s="145"/>
      <c r="D246" s="145"/>
      <c r="E246" s="148"/>
      <c r="F246" s="155"/>
      <c r="G246" s="144"/>
      <c r="H246" s="144"/>
      <c r="I246" s="144"/>
      <c r="J246" s="145"/>
      <c r="K246" s="145"/>
      <c r="L246" s="154"/>
      <c r="M246" s="155"/>
      <c r="N246" s="144"/>
      <c r="O246" s="144"/>
      <c r="P246" s="144"/>
      <c r="Q246" s="145"/>
      <c r="R246" s="145"/>
      <c r="S246" s="154"/>
      <c r="T246" s="155"/>
      <c r="U246" s="144"/>
      <c r="V246" s="144"/>
    </row>
    <row r="247" spans="1:22" ht="14" x14ac:dyDescent="0.15">
      <c r="A247" s="144"/>
      <c r="B247" s="144"/>
      <c r="C247" s="145"/>
      <c r="D247" s="145"/>
      <c r="E247" s="148"/>
      <c r="F247" s="155"/>
      <c r="G247" s="144"/>
      <c r="H247" s="144"/>
      <c r="I247" s="144"/>
      <c r="J247" s="145"/>
      <c r="K247" s="145"/>
      <c r="L247" s="154"/>
      <c r="M247" s="155"/>
      <c r="N247" s="144"/>
      <c r="O247" s="144"/>
      <c r="P247" s="144"/>
      <c r="Q247" s="145"/>
      <c r="R247" s="145"/>
      <c r="S247" s="154"/>
      <c r="T247" s="155"/>
      <c r="U247" s="144"/>
      <c r="V247" s="144"/>
    </row>
    <row r="248" spans="1:22" ht="14" x14ac:dyDescent="0.15">
      <c r="A248" s="144"/>
      <c r="B248" s="144"/>
      <c r="C248" s="145"/>
      <c r="D248" s="145"/>
      <c r="E248" s="148"/>
      <c r="F248" s="155"/>
      <c r="G248" s="144"/>
      <c r="H248" s="144"/>
      <c r="I248" s="144"/>
      <c r="J248" s="145"/>
      <c r="K248" s="145"/>
      <c r="L248" s="154"/>
      <c r="M248" s="155"/>
      <c r="N248" s="144"/>
      <c r="O248" s="144"/>
      <c r="P248" s="144"/>
      <c r="Q248" s="145"/>
      <c r="R248" s="145"/>
      <c r="S248" s="154"/>
      <c r="T248" s="155"/>
      <c r="U248" s="144"/>
      <c r="V248" s="144"/>
    </row>
    <row r="249" spans="1:22" ht="14" x14ac:dyDescent="0.15">
      <c r="A249" s="144"/>
      <c r="B249" s="144"/>
      <c r="C249" s="145"/>
      <c r="D249" s="145"/>
      <c r="E249" s="148"/>
      <c r="F249" s="155"/>
      <c r="G249" s="144"/>
      <c r="H249" s="144"/>
      <c r="I249" s="144"/>
      <c r="J249" s="145"/>
      <c r="K249" s="145"/>
      <c r="L249" s="154"/>
      <c r="M249" s="155"/>
      <c r="N249" s="144"/>
      <c r="O249" s="144"/>
      <c r="P249" s="144"/>
      <c r="Q249" s="145"/>
      <c r="R249" s="145"/>
      <c r="S249" s="154"/>
      <c r="T249" s="155"/>
      <c r="U249" s="144"/>
      <c r="V249" s="144"/>
    </row>
    <row r="250" spans="1:22" ht="14" x14ac:dyDescent="0.15">
      <c r="A250" s="144"/>
      <c r="B250" s="144"/>
      <c r="C250" s="145"/>
      <c r="D250" s="145"/>
      <c r="E250" s="148"/>
      <c r="F250" s="155"/>
      <c r="G250" s="144"/>
      <c r="H250" s="144"/>
      <c r="I250" s="144"/>
      <c r="J250" s="145"/>
      <c r="K250" s="145"/>
      <c r="L250" s="154"/>
      <c r="M250" s="155"/>
      <c r="N250" s="144"/>
      <c r="O250" s="144"/>
      <c r="P250" s="144"/>
      <c r="Q250" s="145"/>
      <c r="R250" s="145"/>
      <c r="S250" s="154"/>
      <c r="T250" s="155"/>
      <c r="U250" s="144"/>
      <c r="V250" s="144"/>
    </row>
    <row r="251" spans="1:22" ht="14" x14ac:dyDescent="0.15">
      <c r="A251" s="144"/>
      <c r="B251" s="144"/>
      <c r="C251" s="145"/>
      <c r="D251" s="145"/>
      <c r="E251" s="148"/>
      <c r="F251" s="155"/>
      <c r="G251" s="144"/>
      <c r="H251" s="144"/>
      <c r="I251" s="144"/>
      <c r="J251" s="145"/>
      <c r="K251" s="145"/>
      <c r="L251" s="154"/>
      <c r="M251" s="155"/>
      <c r="N251" s="144"/>
      <c r="O251" s="144"/>
      <c r="P251" s="144"/>
      <c r="Q251" s="145"/>
      <c r="R251" s="145"/>
      <c r="S251" s="154"/>
      <c r="T251" s="155"/>
      <c r="U251" s="144"/>
      <c r="V251" s="144"/>
    </row>
    <row r="252" spans="1:22" ht="14" x14ac:dyDescent="0.15">
      <c r="A252" s="144"/>
      <c r="B252" s="144"/>
      <c r="C252" s="145"/>
      <c r="D252" s="145"/>
      <c r="E252" s="148"/>
      <c r="F252" s="155"/>
      <c r="G252" s="144"/>
      <c r="H252" s="144"/>
      <c r="I252" s="144"/>
      <c r="J252" s="145"/>
      <c r="K252" s="145"/>
      <c r="L252" s="154"/>
      <c r="M252" s="155"/>
      <c r="N252" s="144"/>
      <c r="O252" s="144"/>
      <c r="P252" s="144"/>
      <c r="Q252" s="145"/>
      <c r="R252" s="145"/>
      <c r="S252" s="154"/>
      <c r="T252" s="155"/>
      <c r="U252" s="144"/>
      <c r="V252" s="144"/>
    </row>
    <row r="253" spans="1:22" ht="14" x14ac:dyDescent="0.15">
      <c r="A253" s="144"/>
      <c r="B253" s="144"/>
      <c r="C253" s="145"/>
      <c r="D253" s="145"/>
      <c r="E253" s="148"/>
      <c r="F253" s="155"/>
      <c r="G253" s="144"/>
      <c r="H253" s="144"/>
      <c r="I253" s="144"/>
      <c r="J253" s="145"/>
      <c r="K253" s="145"/>
      <c r="L253" s="154"/>
      <c r="M253" s="155"/>
      <c r="N253" s="144"/>
      <c r="O253" s="144"/>
      <c r="P253" s="144"/>
      <c r="Q253" s="145"/>
      <c r="R253" s="145"/>
      <c r="S253" s="154"/>
      <c r="T253" s="155"/>
      <c r="U253" s="144"/>
      <c r="V253" s="144"/>
    </row>
    <row r="254" spans="1:22" ht="14" x14ac:dyDescent="0.15">
      <c r="A254" s="144"/>
      <c r="B254" s="144"/>
      <c r="C254" s="145"/>
      <c r="D254" s="145"/>
      <c r="E254" s="148"/>
      <c r="F254" s="155"/>
      <c r="G254" s="144"/>
      <c r="H254" s="144"/>
      <c r="I254" s="144"/>
      <c r="J254" s="145"/>
      <c r="K254" s="145"/>
      <c r="L254" s="154"/>
      <c r="M254" s="155"/>
      <c r="N254" s="144"/>
      <c r="O254" s="144"/>
      <c r="P254" s="144"/>
      <c r="Q254" s="145"/>
      <c r="R254" s="145"/>
      <c r="S254" s="154"/>
      <c r="T254" s="155"/>
      <c r="U254" s="144"/>
      <c r="V254" s="144"/>
    </row>
    <row r="255" spans="1:22" ht="14" x14ac:dyDescent="0.15">
      <c r="A255" s="144"/>
      <c r="B255" s="144"/>
      <c r="C255" s="145"/>
      <c r="D255" s="145"/>
      <c r="E255" s="148"/>
      <c r="F255" s="155"/>
      <c r="G255" s="144"/>
      <c r="H255" s="144"/>
      <c r="I255" s="144"/>
      <c r="J255" s="145"/>
      <c r="K255" s="145"/>
      <c r="L255" s="154"/>
      <c r="M255" s="155"/>
      <c r="N255" s="144"/>
      <c r="O255" s="144"/>
      <c r="P255" s="144"/>
      <c r="Q255" s="145"/>
      <c r="R255" s="145"/>
      <c r="S255" s="154"/>
      <c r="T255" s="155"/>
      <c r="U255" s="144"/>
      <c r="V255" s="144"/>
    </row>
    <row r="256" spans="1:22" ht="14" x14ac:dyDescent="0.15">
      <c r="A256" s="144"/>
      <c r="B256" s="144"/>
      <c r="C256" s="145"/>
      <c r="D256" s="145"/>
      <c r="E256" s="148"/>
      <c r="F256" s="155"/>
      <c r="G256" s="144"/>
      <c r="H256" s="144"/>
      <c r="I256" s="144"/>
      <c r="J256" s="145"/>
      <c r="K256" s="145"/>
      <c r="L256" s="154"/>
      <c r="M256" s="155"/>
      <c r="N256" s="144"/>
      <c r="O256" s="144"/>
      <c r="P256" s="144"/>
      <c r="Q256" s="145"/>
      <c r="R256" s="145"/>
      <c r="S256" s="154"/>
      <c r="T256" s="155"/>
      <c r="U256" s="144"/>
      <c r="V256" s="144"/>
    </row>
    <row r="257" spans="1:22" ht="14" x14ac:dyDescent="0.15">
      <c r="A257" s="144"/>
      <c r="B257" s="144"/>
      <c r="C257" s="145"/>
      <c r="D257" s="145"/>
      <c r="E257" s="148"/>
      <c r="F257" s="155"/>
      <c r="G257" s="144"/>
      <c r="H257" s="144"/>
      <c r="I257" s="144"/>
      <c r="J257" s="145"/>
      <c r="K257" s="145"/>
      <c r="L257" s="154"/>
      <c r="M257" s="155"/>
      <c r="N257" s="144"/>
      <c r="O257" s="144"/>
      <c r="P257" s="144"/>
      <c r="Q257" s="145"/>
      <c r="R257" s="145"/>
      <c r="S257" s="154"/>
      <c r="T257" s="155"/>
      <c r="U257" s="144"/>
      <c r="V257" s="144"/>
    </row>
    <row r="258" spans="1:22" ht="14" x14ac:dyDescent="0.15">
      <c r="A258" s="144"/>
      <c r="B258" s="144"/>
      <c r="C258" s="145"/>
      <c r="D258" s="145"/>
      <c r="E258" s="148"/>
      <c r="F258" s="155"/>
      <c r="G258" s="144"/>
      <c r="H258" s="144"/>
      <c r="I258" s="144"/>
      <c r="J258" s="145"/>
      <c r="K258" s="145"/>
      <c r="L258" s="154"/>
      <c r="M258" s="155"/>
      <c r="N258" s="144"/>
      <c r="O258" s="144"/>
      <c r="P258" s="144"/>
      <c r="Q258" s="145"/>
      <c r="R258" s="145"/>
      <c r="S258" s="154"/>
      <c r="T258" s="155"/>
      <c r="U258" s="144"/>
      <c r="V258" s="144"/>
    </row>
    <row r="259" spans="1:22" ht="14" x14ac:dyDescent="0.15">
      <c r="A259" s="144"/>
      <c r="B259" s="144"/>
      <c r="C259" s="145"/>
      <c r="D259" s="145"/>
      <c r="E259" s="148"/>
      <c r="F259" s="155"/>
      <c r="G259" s="144"/>
      <c r="H259" s="144"/>
      <c r="I259" s="144"/>
      <c r="J259" s="145"/>
      <c r="K259" s="145"/>
      <c r="L259" s="154"/>
      <c r="M259" s="155"/>
      <c r="N259" s="144"/>
      <c r="O259" s="144"/>
      <c r="P259" s="144"/>
      <c r="Q259" s="145"/>
      <c r="R259" s="145"/>
      <c r="S259" s="154"/>
      <c r="T259" s="155"/>
      <c r="U259" s="144"/>
      <c r="V259" s="144"/>
    </row>
    <row r="260" spans="1:22" ht="14" x14ac:dyDescent="0.15">
      <c r="A260" s="144"/>
      <c r="B260" s="144"/>
      <c r="C260" s="145"/>
      <c r="D260" s="145"/>
      <c r="E260" s="148"/>
      <c r="F260" s="155"/>
      <c r="G260" s="144"/>
      <c r="H260" s="144"/>
      <c r="I260" s="144"/>
      <c r="J260" s="145"/>
      <c r="K260" s="145"/>
      <c r="L260" s="154"/>
      <c r="M260" s="155"/>
      <c r="N260" s="144"/>
      <c r="O260" s="144"/>
      <c r="P260" s="144"/>
      <c r="Q260" s="145"/>
      <c r="R260" s="145"/>
      <c r="S260" s="154"/>
      <c r="T260" s="155"/>
      <c r="U260" s="144"/>
      <c r="V260" s="144"/>
    </row>
    <row r="261" spans="1:22" ht="14" x14ac:dyDescent="0.15">
      <c r="A261" s="144"/>
      <c r="B261" s="144"/>
      <c r="C261" s="145"/>
      <c r="D261" s="145"/>
      <c r="E261" s="148"/>
      <c r="F261" s="155"/>
      <c r="G261" s="144"/>
      <c r="H261" s="144"/>
      <c r="I261" s="144"/>
      <c r="J261" s="145"/>
      <c r="K261" s="145"/>
      <c r="L261" s="154"/>
      <c r="M261" s="155"/>
      <c r="N261" s="144"/>
      <c r="O261" s="144"/>
      <c r="P261" s="144"/>
      <c r="Q261" s="145"/>
      <c r="R261" s="145"/>
      <c r="S261" s="154"/>
      <c r="T261" s="155"/>
      <c r="U261" s="144"/>
      <c r="V261" s="144"/>
    </row>
    <row r="262" spans="1:22" ht="14" x14ac:dyDescent="0.15">
      <c r="A262" s="144"/>
      <c r="B262" s="144"/>
      <c r="C262" s="145"/>
      <c r="D262" s="145"/>
      <c r="E262" s="148"/>
      <c r="F262" s="155"/>
      <c r="G262" s="144"/>
      <c r="H262" s="144"/>
      <c r="I262" s="144"/>
      <c r="J262" s="145"/>
      <c r="K262" s="145"/>
      <c r="L262" s="154"/>
      <c r="M262" s="155"/>
      <c r="N262" s="144"/>
      <c r="O262" s="144"/>
      <c r="P262" s="144"/>
      <c r="Q262" s="145"/>
      <c r="R262" s="145"/>
      <c r="S262" s="154"/>
      <c r="T262" s="155"/>
      <c r="U262" s="144"/>
      <c r="V262" s="144"/>
    </row>
    <row r="263" spans="1:22" ht="14" x14ac:dyDescent="0.15">
      <c r="A263" s="144"/>
      <c r="B263" s="144"/>
      <c r="C263" s="145"/>
      <c r="D263" s="145"/>
      <c r="E263" s="148"/>
      <c r="F263" s="155"/>
      <c r="G263" s="144"/>
      <c r="H263" s="144"/>
      <c r="I263" s="144"/>
      <c r="J263" s="145"/>
      <c r="K263" s="145"/>
      <c r="L263" s="154"/>
      <c r="M263" s="155"/>
      <c r="N263" s="144"/>
      <c r="O263" s="144"/>
      <c r="P263" s="144"/>
      <c r="Q263" s="145"/>
      <c r="R263" s="145"/>
      <c r="S263" s="154"/>
      <c r="T263" s="155"/>
      <c r="U263" s="144"/>
      <c r="V263" s="144"/>
    </row>
    <row r="264" spans="1:22" ht="14" x14ac:dyDescent="0.15">
      <c r="A264" s="144"/>
      <c r="B264" s="144"/>
      <c r="C264" s="145"/>
      <c r="D264" s="145"/>
      <c r="E264" s="148"/>
      <c r="F264" s="155"/>
      <c r="G264" s="144"/>
      <c r="H264" s="144"/>
      <c r="I264" s="144"/>
      <c r="J264" s="145"/>
      <c r="K264" s="145"/>
      <c r="L264" s="154"/>
      <c r="M264" s="155"/>
      <c r="N264" s="144"/>
      <c r="O264" s="144"/>
      <c r="P264" s="144"/>
      <c r="Q264" s="145"/>
      <c r="R264" s="145"/>
      <c r="S264" s="154"/>
      <c r="T264" s="155"/>
      <c r="U264" s="144"/>
      <c r="V264" s="144"/>
    </row>
    <row r="265" spans="1:22" ht="14" x14ac:dyDescent="0.15">
      <c r="A265" s="144"/>
      <c r="B265" s="144"/>
      <c r="C265" s="145"/>
      <c r="D265" s="145"/>
      <c r="E265" s="148"/>
      <c r="F265" s="155"/>
      <c r="G265" s="144"/>
      <c r="H265" s="144"/>
      <c r="I265" s="144"/>
      <c r="J265" s="145"/>
      <c r="K265" s="145"/>
      <c r="L265" s="154"/>
      <c r="M265" s="155"/>
      <c r="N265" s="144"/>
      <c r="O265" s="144"/>
      <c r="P265" s="144"/>
      <c r="Q265" s="145"/>
      <c r="R265" s="145"/>
      <c r="S265" s="154"/>
      <c r="T265" s="155"/>
      <c r="U265" s="144"/>
      <c r="V265" s="144"/>
    </row>
    <row r="266" spans="1:22" ht="14" x14ac:dyDescent="0.15">
      <c r="A266" s="144"/>
      <c r="B266" s="144"/>
      <c r="C266" s="145"/>
      <c r="D266" s="145"/>
      <c r="E266" s="148"/>
      <c r="F266" s="155"/>
      <c r="G266" s="144"/>
      <c r="H266" s="144"/>
      <c r="I266" s="144"/>
      <c r="J266" s="145"/>
      <c r="K266" s="145"/>
      <c r="L266" s="154"/>
      <c r="M266" s="155"/>
      <c r="N266" s="144"/>
      <c r="O266" s="144"/>
      <c r="P266" s="144"/>
      <c r="Q266" s="145"/>
      <c r="R266" s="145"/>
      <c r="S266" s="154"/>
      <c r="T266" s="155"/>
      <c r="U266" s="144"/>
      <c r="V266" s="144"/>
    </row>
    <row r="267" spans="1:22" ht="14" x14ac:dyDescent="0.15">
      <c r="A267" s="144"/>
      <c r="B267" s="144"/>
      <c r="C267" s="145"/>
      <c r="D267" s="145"/>
      <c r="E267" s="148"/>
      <c r="F267" s="155"/>
      <c r="G267" s="144"/>
      <c r="H267" s="144"/>
      <c r="I267" s="144"/>
      <c r="J267" s="145"/>
      <c r="K267" s="145"/>
      <c r="L267" s="154"/>
      <c r="M267" s="155"/>
      <c r="N267" s="144"/>
      <c r="O267" s="144"/>
      <c r="P267" s="144"/>
      <c r="Q267" s="145"/>
      <c r="R267" s="145"/>
      <c r="S267" s="154"/>
      <c r="T267" s="155"/>
      <c r="U267" s="144"/>
      <c r="V267" s="144"/>
    </row>
    <row r="268" spans="1:22" ht="14" x14ac:dyDescent="0.15">
      <c r="A268" s="144"/>
      <c r="B268" s="144"/>
      <c r="C268" s="145"/>
      <c r="D268" s="145"/>
      <c r="E268" s="148"/>
      <c r="F268" s="155"/>
      <c r="G268" s="144"/>
      <c r="H268" s="144"/>
      <c r="I268" s="144"/>
      <c r="J268" s="145"/>
      <c r="K268" s="145"/>
      <c r="L268" s="154"/>
      <c r="M268" s="155"/>
      <c r="N268" s="144"/>
      <c r="O268" s="144"/>
      <c r="P268" s="144"/>
      <c r="Q268" s="145"/>
      <c r="R268" s="145"/>
      <c r="S268" s="154"/>
      <c r="T268" s="155"/>
      <c r="U268" s="144"/>
      <c r="V268" s="144"/>
    </row>
    <row r="269" spans="1:22" ht="14" x14ac:dyDescent="0.15">
      <c r="A269" s="144"/>
      <c r="B269" s="144"/>
      <c r="C269" s="145"/>
      <c r="D269" s="145"/>
      <c r="E269" s="148"/>
      <c r="F269" s="155"/>
      <c r="G269" s="144"/>
      <c r="H269" s="144"/>
      <c r="I269" s="144"/>
      <c r="J269" s="145"/>
      <c r="K269" s="145"/>
      <c r="L269" s="154"/>
      <c r="M269" s="155"/>
      <c r="N269" s="144"/>
      <c r="O269" s="144"/>
      <c r="P269" s="144"/>
      <c r="Q269" s="145"/>
      <c r="R269" s="145"/>
      <c r="S269" s="154"/>
      <c r="T269" s="155"/>
      <c r="U269" s="144"/>
      <c r="V269" s="144"/>
    </row>
    <row r="270" spans="1:22" ht="14" x14ac:dyDescent="0.15">
      <c r="A270" s="144"/>
      <c r="B270" s="144"/>
      <c r="C270" s="145"/>
      <c r="D270" s="145"/>
      <c r="E270" s="148"/>
      <c r="F270" s="155"/>
      <c r="G270" s="144"/>
      <c r="H270" s="144"/>
      <c r="I270" s="144"/>
      <c r="J270" s="145"/>
      <c r="K270" s="145"/>
      <c r="L270" s="154"/>
      <c r="M270" s="155"/>
      <c r="N270" s="144"/>
      <c r="O270" s="144"/>
      <c r="P270" s="144"/>
      <c r="Q270" s="145"/>
      <c r="R270" s="145"/>
      <c r="S270" s="154"/>
      <c r="T270" s="155"/>
      <c r="U270" s="144"/>
      <c r="V270" s="144"/>
    </row>
    <row r="271" spans="1:22" ht="14" x14ac:dyDescent="0.15">
      <c r="A271" s="144"/>
      <c r="B271" s="144"/>
      <c r="C271" s="145"/>
      <c r="D271" s="145"/>
      <c r="E271" s="148"/>
      <c r="F271" s="155"/>
      <c r="G271" s="144"/>
      <c r="H271" s="144"/>
      <c r="I271" s="144"/>
      <c r="J271" s="145"/>
      <c r="K271" s="145"/>
      <c r="L271" s="154"/>
      <c r="M271" s="155"/>
      <c r="N271" s="144"/>
      <c r="O271" s="144"/>
      <c r="P271" s="144"/>
      <c r="Q271" s="145"/>
      <c r="R271" s="145"/>
      <c r="S271" s="154"/>
      <c r="T271" s="155"/>
      <c r="U271" s="144"/>
      <c r="V271" s="144"/>
    </row>
    <row r="272" spans="1:22" ht="14" x14ac:dyDescent="0.15">
      <c r="A272" s="144"/>
      <c r="B272" s="144"/>
      <c r="C272" s="145"/>
      <c r="D272" s="145"/>
      <c r="E272" s="148"/>
      <c r="F272" s="155"/>
      <c r="G272" s="144"/>
      <c r="H272" s="144"/>
      <c r="I272" s="144"/>
      <c r="J272" s="145"/>
      <c r="K272" s="145"/>
      <c r="L272" s="154"/>
      <c r="M272" s="155"/>
      <c r="N272" s="144"/>
      <c r="O272" s="144"/>
      <c r="P272" s="144"/>
      <c r="Q272" s="145"/>
      <c r="R272" s="145"/>
      <c r="S272" s="154"/>
      <c r="T272" s="155"/>
      <c r="U272" s="144"/>
      <c r="V272" s="144"/>
    </row>
    <row r="273" spans="1:22" ht="14" x14ac:dyDescent="0.15">
      <c r="A273" s="144"/>
      <c r="B273" s="144"/>
      <c r="C273" s="145"/>
      <c r="D273" s="145"/>
      <c r="E273" s="148"/>
      <c r="F273" s="155"/>
      <c r="G273" s="144"/>
      <c r="H273" s="144"/>
      <c r="I273" s="144"/>
      <c r="J273" s="145"/>
      <c r="K273" s="145"/>
      <c r="L273" s="154"/>
      <c r="M273" s="155"/>
      <c r="N273" s="144"/>
      <c r="O273" s="144"/>
      <c r="P273" s="144"/>
      <c r="Q273" s="145"/>
      <c r="R273" s="145"/>
      <c r="S273" s="154"/>
      <c r="T273" s="155"/>
      <c r="U273" s="144"/>
      <c r="V273" s="144"/>
    </row>
    <row r="274" spans="1:22" ht="14" x14ac:dyDescent="0.15">
      <c r="A274" s="144"/>
      <c r="B274" s="144"/>
      <c r="C274" s="145"/>
      <c r="D274" s="145"/>
      <c r="E274" s="148"/>
      <c r="F274" s="155"/>
      <c r="G274" s="144"/>
      <c r="H274" s="144"/>
      <c r="I274" s="144"/>
      <c r="J274" s="145"/>
      <c r="K274" s="145"/>
      <c r="L274" s="154"/>
      <c r="M274" s="155"/>
      <c r="N274" s="144"/>
      <c r="O274" s="144"/>
      <c r="P274" s="144"/>
      <c r="Q274" s="145"/>
      <c r="R274" s="145"/>
      <c r="S274" s="154"/>
      <c r="T274" s="155"/>
      <c r="U274" s="144"/>
      <c r="V274" s="144"/>
    </row>
    <row r="275" spans="1:22" ht="14" x14ac:dyDescent="0.15">
      <c r="A275" s="144"/>
      <c r="B275" s="144"/>
      <c r="C275" s="145"/>
      <c r="D275" s="145"/>
      <c r="E275" s="148"/>
      <c r="F275" s="155"/>
      <c r="G275" s="144"/>
      <c r="H275" s="144"/>
      <c r="I275" s="144"/>
      <c r="J275" s="145"/>
      <c r="K275" s="145"/>
      <c r="L275" s="154"/>
      <c r="M275" s="155"/>
      <c r="N275" s="144"/>
      <c r="O275" s="144"/>
      <c r="P275" s="144"/>
      <c r="Q275" s="145"/>
      <c r="R275" s="145"/>
      <c r="S275" s="154"/>
      <c r="T275" s="155"/>
      <c r="U275" s="144"/>
      <c r="V275" s="144"/>
    </row>
    <row r="276" spans="1:22" ht="14" x14ac:dyDescent="0.15">
      <c r="A276" s="144"/>
      <c r="B276" s="144"/>
      <c r="C276" s="145"/>
      <c r="D276" s="145"/>
      <c r="E276" s="148"/>
      <c r="F276" s="155"/>
      <c r="G276" s="144"/>
      <c r="H276" s="144"/>
      <c r="I276" s="144"/>
      <c r="J276" s="145"/>
      <c r="K276" s="145"/>
      <c r="L276" s="154"/>
      <c r="M276" s="155"/>
      <c r="N276" s="144"/>
      <c r="O276" s="144"/>
      <c r="P276" s="144"/>
      <c r="Q276" s="145"/>
      <c r="R276" s="145"/>
      <c r="S276" s="154"/>
      <c r="T276" s="155"/>
      <c r="U276" s="144"/>
      <c r="V276" s="144"/>
    </row>
    <row r="277" spans="1:22" ht="14" x14ac:dyDescent="0.15">
      <c r="A277" s="144"/>
      <c r="B277" s="144"/>
      <c r="C277" s="145"/>
      <c r="D277" s="145"/>
      <c r="E277" s="148"/>
      <c r="F277" s="155"/>
      <c r="G277" s="144"/>
      <c r="H277" s="144"/>
      <c r="I277" s="144"/>
      <c r="J277" s="145"/>
      <c r="K277" s="145"/>
      <c r="L277" s="154"/>
      <c r="M277" s="155"/>
      <c r="N277" s="144"/>
      <c r="O277" s="144"/>
      <c r="P277" s="144"/>
      <c r="Q277" s="145"/>
      <c r="R277" s="145"/>
      <c r="S277" s="154"/>
      <c r="T277" s="155"/>
      <c r="U277" s="144"/>
      <c r="V277" s="144"/>
    </row>
    <row r="278" spans="1:22" ht="14" x14ac:dyDescent="0.15">
      <c r="A278" s="144"/>
      <c r="B278" s="144"/>
      <c r="C278" s="145"/>
      <c r="D278" s="145"/>
      <c r="E278" s="148"/>
      <c r="F278" s="155"/>
      <c r="G278" s="144"/>
      <c r="H278" s="144"/>
      <c r="I278" s="144"/>
      <c r="J278" s="145"/>
      <c r="K278" s="145"/>
      <c r="L278" s="154"/>
      <c r="M278" s="155"/>
      <c r="N278" s="144"/>
      <c r="O278" s="144"/>
      <c r="P278" s="144"/>
      <c r="Q278" s="145"/>
      <c r="R278" s="145"/>
      <c r="S278" s="154"/>
      <c r="T278" s="155"/>
      <c r="U278" s="144"/>
      <c r="V278" s="144"/>
    </row>
    <row r="279" spans="1:22" ht="14" x14ac:dyDescent="0.15">
      <c r="A279" s="144"/>
      <c r="B279" s="144"/>
      <c r="C279" s="145"/>
      <c r="D279" s="145"/>
      <c r="E279" s="148"/>
      <c r="F279" s="155"/>
      <c r="G279" s="144"/>
      <c r="H279" s="144"/>
      <c r="I279" s="144"/>
      <c r="J279" s="145"/>
      <c r="K279" s="145"/>
      <c r="L279" s="154"/>
      <c r="M279" s="155"/>
      <c r="N279" s="144"/>
      <c r="O279" s="144"/>
      <c r="P279" s="144"/>
      <c r="Q279" s="145"/>
      <c r="R279" s="145"/>
      <c r="S279" s="154"/>
      <c r="T279" s="155"/>
      <c r="U279" s="144"/>
      <c r="V279" s="144"/>
    </row>
    <row r="280" spans="1:22" ht="14" x14ac:dyDescent="0.15">
      <c r="A280" s="144"/>
      <c r="B280" s="144"/>
      <c r="C280" s="145"/>
      <c r="D280" s="145"/>
      <c r="E280" s="148"/>
      <c r="F280" s="155"/>
      <c r="G280" s="144"/>
      <c r="H280" s="144"/>
      <c r="I280" s="144"/>
      <c r="J280" s="145"/>
      <c r="K280" s="145"/>
      <c r="L280" s="154"/>
      <c r="M280" s="155"/>
      <c r="N280" s="144"/>
      <c r="O280" s="144"/>
      <c r="P280" s="144"/>
      <c r="Q280" s="145"/>
      <c r="R280" s="145"/>
      <c r="S280" s="154"/>
      <c r="T280" s="155"/>
      <c r="U280" s="144"/>
      <c r="V280" s="144"/>
    </row>
    <row r="281" spans="1:22" ht="14" x14ac:dyDescent="0.15">
      <c r="A281" s="144"/>
      <c r="B281" s="144"/>
      <c r="C281" s="145"/>
      <c r="D281" s="145"/>
      <c r="E281" s="148"/>
      <c r="F281" s="155"/>
      <c r="G281" s="144"/>
      <c r="H281" s="144"/>
      <c r="I281" s="144"/>
      <c r="J281" s="145"/>
      <c r="K281" s="145"/>
      <c r="L281" s="154"/>
      <c r="M281" s="155"/>
      <c r="N281" s="144"/>
      <c r="O281" s="144"/>
      <c r="P281" s="144"/>
      <c r="Q281" s="145"/>
      <c r="R281" s="145"/>
      <c r="S281" s="154"/>
      <c r="T281" s="155"/>
      <c r="U281" s="144"/>
      <c r="V281" s="144"/>
    </row>
    <row r="282" spans="1:22" ht="14" x14ac:dyDescent="0.15">
      <c r="A282" s="144"/>
      <c r="B282" s="144"/>
      <c r="C282" s="145"/>
      <c r="D282" s="145"/>
      <c r="E282" s="148"/>
      <c r="F282" s="155"/>
      <c r="G282" s="144"/>
      <c r="H282" s="144"/>
      <c r="I282" s="144"/>
      <c r="J282" s="145"/>
      <c r="K282" s="145"/>
      <c r="L282" s="154"/>
      <c r="M282" s="155"/>
      <c r="N282" s="144"/>
      <c r="O282" s="144"/>
      <c r="P282" s="144"/>
      <c r="Q282" s="145"/>
      <c r="R282" s="145"/>
      <c r="S282" s="154"/>
      <c r="T282" s="155"/>
      <c r="U282" s="144"/>
      <c r="V282" s="144"/>
    </row>
    <row r="283" spans="1:22" ht="14" x14ac:dyDescent="0.15">
      <c r="A283" s="144"/>
      <c r="B283" s="144"/>
      <c r="C283" s="145"/>
      <c r="D283" s="145"/>
      <c r="E283" s="148"/>
      <c r="F283" s="155"/>
      <c r="G283" s="144"/>
      <c r="H283" s="144"/>
      <c r="I283" s="144"/>
      <c r="J283" s="145"/>
      <c r="K283" s="145"/>
      <c r="L283" s="154"/>
      <c r="M283" s="155"/>
      <c r="N283" s="144"/>
      <c r="O283" s="144"/>
      <c r="P283" s="144"/>
      <c r="Q283" s="145"/>
      <c r="R283" s="145"/>
      <c r="S283" s="154"/>
      <c r="T283" s="155"/>
      <c r="U283" s="144"/>
      <c r="V283" s="144"/>
    </row>
    <row r="284" spans="1:22" ht="14" x14ac:dyDescent="0.15">
      <c r="A284" s="144"/>
      <c r="B284" s="144"/>
      <c r="C284" s="145"/>
      <c r="D284" s="145"/>
      <c r="E284" s="148"/>
      <c r="F284" s="155"/>
      <c r="G284" s="144"/>
      <c r="H284" s="144"/>
      <c r="I284" s="144"/>
      <c r="J284" s="145"/>
      <c r="K284" s="145"/>
      <c r="L284" s="154"/>
      <c r="M284" s="155"/>
      <c r="N284" s="144"/>
      <c r="O284" s="144"/>
      <c r="P284" s="144"/>
      <c r="Q284" s="145"/>
      <c r="R284" s="145"/>
      <c r="S284" s="154"/>
      <c r="T284" s="155"/>
      <c r="U284" s="144"/>
      <c r="V284" s="144"/>
    </row>
    <row r="285" spans="1:22" ht="14" x14ac:dyDescent="0.15">
      <c r="A285" s="144"/>
      <c r="B285" s="144"/>
      <c r="C285" s="145"/>
      <c r="D285" s="145"/>
      <c r="E285" s="148"/>
      <c r="F285" s="155"/>
      <c r="G285" s="144"/>
      <c r="H285" s="144"/>
      <c r="I285" s="144"/>
      <c r="J285" s="145"/>
      <c r="K285" s="145"/>
      <c r="L285" s="154"/>
      <c r="M285" s="155"/>
      <c r="N285" s="144"/>
      <c r="O285" s="144"/>
      <c r="P285" s="144"/>
      <c r="Q285" s="145"/>
      <c r="R285" s="145"/>
      <c r="S285" s="154"/>
      <c r="T285" s="155"/>
      <c r="U285" s="144"/>
      <c r="V285" s="144"/>
    </row>
    <row r="286" spans="1:22" ht="14" x14ac:dyDescent="0.15">
      <c r="A286" s="144"/>
      <c r="B286" s="144"/>
      <c r="C286" s="145"/>
      <c r="D286" s="145"/>
      <c r="E286" s="148"/>
      <c r="F286" s="155"/>
      <c r="G286" s="144"/>
      <c r="H286" s="144"/>
      <c r="I286" s="144"/>
      <c r="J286" s="145"/>
      <c r="K286" s="145"/>
      <c r="L286" s="154"/>
      <c r="M286" s="155"/>
      <c r="N286" s="144"/>
      <c r="O286" s="144"/>
      <c r="P286" s="144"/>
      <c r="Q286" s="145"/>
      <c r="R286" s="145"/>
      <c r="S286" s="154"/>
      <c r="T286" s="155"/>
      <c r="U286" s="144"/>
      <c r="V286" s="144"/>
    </row>
    <row r="287" spans="1:22" ht="14" x14ac:dyDescent="0.15">
      <c r="A287" s="144"/>
      <c r="B287" s="144"/>
      <c r="C287" s="145"/>
      <c r="D287" s="145"/>
      <c r="E287" s="148"/>
      <c r="F287" s="155"/>
      <c r="G287" s="144"/>
      <c r="H287" s="144"/>
      <c r="I287" s="144"/>
      <c r="J287" s="145"/>
      <c r="K287" s="145"/>
      <c r="L287" s="154"/>
      <c r="M287" s="155"/>
      <c r="N287" s="144"/>
      <c r="O287" s="144"/>
      <c r="P287" s="144"/>
      <c r="Q287" s="145"/>
      <c r="R287" s="145"/>
      <c r="S287" s="154"/>
      <c r="T287" s="155"/>
      <c r="U287" s="144"/>
      <c r="V287" s="144"/>
    </row>
    <row r="288" spans="1:22" ht="14" x14ac:dyDescent="0.15">
      <c r="A288" s="144"/>
      <c r="B288" s="144"/>
      <c r="C288" s="145"/>
      <c r="D288" s="145"/>
      <c r="E288" s="148"/>
      <c r="F288" s="155"/>
      <c r="G288" s="144"/>
      <c r="H288" s="144"/>
      <c r="I288" s="144"/>
      <c r="J288" s="145"/>
      <c r="K288" s="145"/>
      <c r="L288" s="154"/>
      <c r="M288" s="155"/>
      <c r="N288" s="144"/>
      <c r="O288" s="144"/>
      <c r="P288" s="144"/>
      <c r="Q288" s="145"/>
      <c r="R288" s="145"/>
      <c r="S288" s="154"/>
      <c r="T288" s="155"/>
      <c r="U288" s="144"/>
      <c r="V288" s="144"/>
    </row>
    <row r="289" spans="1:22" ht="14" x14ac:dyDescent="0.15">
      <c r="A289" s="144"/>
      <c r="B289" s="144"/>
      <c r="C289" s="145"/>
      <c r="D289" s="145"/>
      <c r="E289" s="148"/>
      <c r="F289" s="155"/>
      <c r="G289" s="144"/>
      <c r="H289" s="144"/>
      <c r="I289" s="144"/>
      <c r="J289" s="145"/>
      <c r="K289" s="145"/>
      <c r="L289" s="154"/>
      <c r="M289" s="155"/>
      <c r="N289" s="144"/>
      <c r="O289" s="144"/>
      <c r="P289" s="144"/>
      <c r="Q289" s="145"/>
      <c r="R289" s="145"/>
      <c r="S289" s="154"/>
      <c r="T289" s="155"/>
      <c r="U289" s="144"/>
      <c r="V289" s="144"/>
    </row>
    <row r="290" spans="1:22" ht="14" x14ac:dyDescent="0.15">
      <c r="A290" s="144"/>
      <c r="B290" s="144"/>
      <c r="C290" s="145"/>
      <c r="D290" s="145"/>
      <c r="E290" s="148"/>
      <c r="F290" s="155"/>
      <c r="G290" s="144"/>
      <c r="H290" s="144"/>
      <c r="I290" s="144"/>
      <c r="J290" s="145"/>
      <c r="K290" s="145"/>
      <c r="L290" s="154"/>
      <c r="M290" s="155"/>
      <c r="N290" s="144"/>
      <c r="O290" s="144"/>
      <c r="P290" s="144"/>
      <c r="Q290" s="145"/>
      <c r="R290" s="145"/>
      <c r="S290" s="154"/>
      <c r="T290" s="155"/>
      <c r="U290" s="144"/>
      <c r="V290" s="144"/>
    </row>
    <row r="291" spans="1:22" ht="14" x14ac:dyDescent="0.15">
      <c r="A291" s="144"/>
      <c r="B291" s="144"/>
      <c r="C291" s="145"/>
      <c r="D291" s="145"/>
      <c r="E291" s="148"/>
      <c r="F291" s="155"/>
      <c r="G291" s="144"/>
      <c r="H291" s="144"/>
      <c r="I291" s="144"/>
      <c r="J291" s="145"/>
      <c r="K291" s="145"/>
      <c r="L291" s="154"/>
      <c r="M291" s="155"/>
      <c r="N291" s="144"/>
      <c r="O291" s="144"/>
      <c r="P291" s="144"/>
      <c r="Q291" s="145"/>
      <c r="R291" s="145"/>
      <c r="S291" s="154"/>
      <c r="T291" s="155"/>
      <c r="U291" s="144"/>
      <c r="V291" s="144"/>
    </row>
    <row r="292" spans="1:22" ht="14" x14ac:dyDescent="0.15">
      <c r="A292" s="144"/>
      <c r="B292" s="144"/>
      <c r="C292" s="145"/>
      <c r="D292" s="145"/>
      <c r="E292" s="148"/>
      <c r="F292" s="155"/>
      <c r="G292" s="144"/>
      <c r="H292" s="144"/>
      <c r="I292" s="144"/>
      <c r="J292" s="145"/>
      <c r="K292" s="145"/>
      <c r="L292" s="154"/>
      <c r="M292" s="155"/>
      <c r="N292" s="144"/>
      <c r="O292" s="144"/>
      <c r="P292" s="144"/>
      <c r="Q292" s="145"/>
      <c r="R292" s="145"/>
      <c r="S292" s="154"/>
      <c r="T292" s="155"/>
      <c r="U292" s="144"/>
      <c r="V292" s="144"/>
    </row>
    <row r="293" spans="1:22" ht="14" x14ac:dyDescent="0.15">
      <c r="A293" s="144"/>
      <c r="B293" s="144"/>
      <c r="C293" s="145"/>
      <c r="D293" s="145"/>
      <c r="E293" s="148"/>
      <c r="F293" s="155"/>
      <c r="G293" s="144"/>
      <c r="H293" s="144"/>
      <c r="I293" s="144"/>
      <c r="J293" s="145"/>
      <c r="K293" s="145"/>
      <c r="L293" s="154"/>
      <c r="M293" s="155"/>
      <c r="N293" s="144"/>
      <c r="O293" s="144"/>
      <c r="P293" s="144"/>
      <c r="Q293" s="145"/>
      <c r="R293" s="145"/>
      <c r="S293" s="154"/>
      <c r="T293" s="155"/>
      <c r="U293" s="144"/>
      <c r="V293" s="144"/>
    </row>
    <row r="294" spans="1:22" ht="14" x14ac:dyDescent="0.15">
      <c r="A294" s="144"/>
      <c r="B294" s="144"/>
      <c r="C294" s="145"/>
      <c r="D294" s="145"/>
      <c r="E294" s="148"/>
      <c r="F294" s="155"/>
      <c r="G294" s="144"/>
      <c r="H294" s="144"/>
      <c r="I294" s="144"/>
      <c r="J294" s="145"/>
      <c r="K294" s="145"/>
      <c r="L294" s="154"/>
      <c r="M294" s="155"/>
      <c r="N294" s="144"/>
      <c r="O294" s="144"/>
      <c r="P294" s="144"/>
      <c r="Q294" s="145"/>
      <c r="R294" s="145"/>
      <c r="S294" s="154"/>
      <c r="T294" s="155"/>
      <c r="U294" s="144"/>
      <c r="V294" s="144"/>
    </row>
    <row r="295" spans="1:22" ht="14" x14ac:dyDescent="0.15">
      <c r="A295" s="144"/>
      <c r="B295" s="144"/>
      <c r="C295" s="145"/>
      <c r="D295" s="145"/>
      <c r="E295" s="148"/>
      <c r="F295" s="155"/>
      <c r="G295" s="144"/>
      <c r="H295" s="144"/>
      <c r="I295" s="144"/>
      <c r="J295" s="145"/>
      <c r="K295" s="145"/>
      <c r="L295" s="154"/>
      <c r="M295" s="155"/>
      <c r="N295" s="144"/>
      <c r="O295" s="144"/>
      <c r="P295" s="144"/>
      <c r="Q295" s="145"/>
      <c r="R295" s="145"/>
      <c r="S295" s="154"/>
      <c r="T295" s="155"/>
      <c r="U295" s="144"/>
      <c r="V295" s="144"/>
    </row>
    <row r="296" spans="1:22" ht="14" x14ac:dyDescent="0.15">
      <c r="A296" s="144"/>
      <c r="B296" s="144"/>
      <c r="C296" s="145"/>
      <c r="D296" s="145"/>
      <c r="E296" s="148"/>
      <c r="F296" s="155"/>
      <c r="G296" s="144"/>
      <c r="H296" s="144"/>
      <c r="I296" s="144"/>
      <c r="J296" s="145"/>
      <c r="K296" s="145"/>
      <c r="L296" s="154"/>
      <c r="M296" s="155"/>
      <c r="N296" s="144"/>
      <c r="O296" s="144"/>
      <c r="P296" s="144"/>
      <c r="Q296" s="145"/>
      <c r="R296" s="145"/>
      <c r="S296" s="154"/>
      <c r="T296" s="155"/>
      <c r="U296" s="144"/>
      <c r="V296" s="144"/>
    </row>
    <row r="297" spans="1:22" ht="14" x14ac:dyDescent="0.15">
      <c r="A297" s="144"/>
      <c r="B297" s="144"/>
      <c r="C297" s="145"/>
      <c r="D297" s="145"/>
      <c r="E297" s="148"/>
      <c r="F297" s="155"/>
      <c r="G297" s="144"/>
      <c r="H297" s="144"/>
      <c r="I297" s="144"/>
      <c r="J297" s="145"/>
      <c r="K297" s="145"/>
      <c r="L297" s="154"/>
      <c r="M297" s="155"/>
      <c r="N297" s="144"/>
      <c r="O297" s="144"/>
      <c r="P297" s="144"/>
      <c r="Q297" s="145"/>
      <c r="R297" s="145"/>
      <c r="S297" s="154"/>
      <c r="T297" s="155"/>
      <c r="U297" s="144"/>
      <c r="V297" s="144"/>
    </row>
    <row r="298" spans="1:22" ht="14" x14ac:dyDescent="0.15">
      <c r="A298" s="144"/>
      <c r="B298" s="144"/>
      <c r="C298" s="145"/>
      <c r="D298" s="145"/>
      <c r="E298" s="148"/>
      <c r="F298" s="155"/>
      <c r="G298" s="144"/>
      <c r="H298" s="144"/>
      <c r="I298" s="144"/>
      <c r="J298" s="145"/>
      <c r="K298" s="145"/>
      <c r="L298" s="154"/>
      <c r="M298" s="155"/>
      <c r="N298" s="144"/>
      <c r="O298" s="144"/>
      <c r="P298" s="144"/>
      <c r="Q298" s="145"/>
      <c r="R298" s="145"/>
      <c r="S298" s="154"/>
      <c r="T298" s="155"/>
      <c r="U298" s="144"/>
      <c r="V298" s="144"/>
    </row>
    <row r="299" spans="1:22" ht="14" x14ac:dyDescent="0.15">
      <c r="A299" s="144"/>
      <c r="B299" s="144"/>
      <c r="C299" s="145"/>
      <c r="D299" s="145"/>
      <c r="E299" s="148"/>
      <c r="F299" s="155"/>
      <c r="G299" s="144"/>
      <c r="H299" s="144"/>
      <c r="I299" s="144"/>
      <c r="J299" s="145"/>
      <c r="K299" s="145"/>
      <c r="L299" s="154"/>
      <c r="M299" s="155"/>
      <c r="N299" s="144"/>
      <c r="O299" s="144"/>
      <c r="P299" s="144"/>
      <c r="Q299" s="145"/>
      <c r="R299" s="145"/>
      <c r="S299" s="154"/>
      <c r="T299" s="155"/>
      <c r="U299" s="144"/>
      <c r="V299" s="144"/>
    </row>
    <row r="300" spans="1:22" ht="14" x14ac:dyDescent="0.15">
      <c r="A300" s="144"/>
      <c r="B300" s="144"/>
      <c r="C300" s="145"/>
      <c r="D300" s="145"/>
      <c r="E300" s="148"/>
      <c r="F300" s="155"/>
      <c r="G300" s="144"/>
      <c r="H300" s="144"/>
      <c r="I300" s="144"/>
      <c r="J300" s="145"/>
      <c r="K300" s="145"/>
      <c r="L300" s="154"/>
      <c r="M300" s="155"/>
      <c r="N300" s="144"/>
      <c r="O300" s="144"/>
      <c r="P300" s="144"/>
      <c r="Q300" s="145"/>
      <c r="R300" s="145"/>
      <c r="S300" s="154"/>
      <c r="T300" s="155"/>
      <c r="U300" s="144"/>
      <c r="V300" s="144"/>
    </row>
    <row r="301" spans="1:22" ht="14" x14ac:dyDescent="0.15">
      <c r="A301" s="144"/>
      <c r="B301" s="144"/>
      <c r="C301" s="145"/>
      <c r="D301" s="145"/>
      <c r="E301" s="148"/>
      <c r="F301" s="155"/>
      <c r="G301" s="144"/>
      <c r="H301" s="144"/>
      <c r="I301" s="144"/>
      <c r="J301" s="145"/>
      <c r="K301" s="145"/>
      <c r="L301" s="154"/>
      <c r="M301" s="155"/>
      <c r="N301" s="144"/>
      <c r="O301" s="144"/>
      <c r="P301" s="144"/>
      <c r="Q301" s="145"/>
      <c r="R301" s="145"/>
      <c r="S301" s="154"/>
      <c r="T301" s="155"/>
      <c r="U301" s="144"/>
      <c r="V301" s="144"/>
    </row>
    <row r="302" spans="1:22" ht="14" x14ac:dyDescent="0.15">
      <c r="A302" s="144"/>
      <c r="B302" s="144"/>
      <c r="C302" s="145"/>
      <c r="D302" s="145"/>
      <c r="E302" s="148"/>
      <c r="F302" s="155"/>
      <c r="G302" s="144"/>
      <c r="H302" s="144"/>
      <c r="I302" s="144"/>
      <c r="J302" s="145"/>
      <c r="K302" s="145"/>
      <c r="L302" s="154"/>
      <c r="M302" s="155"/>
      <c r="N302" s="144"/>
      <c r="O302" s="144"/>
      <c r="P302" s="144"/>
      <c r="Q302" s="145"/>
      <c r="R302" s="145"/>
      <c r="S302" s="154"/>
      <c r="T302" s="155"/>
      <c r="U302" s="144"/>
      <c r="V302" s="144"/>
    </row>
    <row r="303" spans="1:22" ht="14" x14ac:dyDescent="0.15">
      <c r="A303" s="144"/>
      <c r="B303" s="144"/>
      <c r="C303" s="145"/>
      <c r="D303" s="145"/>
      <c r="E303" s="148"/>
      <c r="F303" s="155"/>
      <c r="G303" s="144"/>
      <c r="H303" s="144"/>
      <c r="I303" s="144"/>
      <c r="J303" s="145"/>
      <c r="K303" s="145"/>
      <c r="L303" s="154"/>
      <c r="M303" s="155"/>
      <c r="N303" s="144"/>
      <c r="O303" s="144"/>
      <c r="P303" s="144"/>
      <c r="Q303" s="145"/>
      <c r="R303" s="145"/>
      <c r="S303" s="154"/>
      <c r="T303" s="155"/>
      <c r="U303" s="144"/>
      <c r="V303" s="144"/>
    </row>
    <row r="304" spans="1:22" ht="14" x14ac:dyDescent="0.15">
      <c r="A304" s="144"/>
      <c r="B304" s="144"/>
      <c r="C304" s="145"/>
      <c r="D304" s="145"/>
      <c r="E304" s="148"/>
      <c r="F304" s="155"/>
      <c r="G304" s="144"/>
      <c r="H304" s="144"/>
      <c r="I304" s="144"/>
      <c r="J304" s="145"/>
      <c r="K304" s="145"/>
      <c r="L304" s="154"/>
      <c r="M304" s="155"/>
      <c r="N304" s="144"/>
      <c r="O304" s="144"/>
      <c r="P304" s="144"/>
      <c r="Q304" s="145"/>
      <c r="R304" s="145"/>
      <c r="S304" s="154"/>
      <c r="T304" s="155"/>
      <c r="U304" s="144"/>
      <c r="V304" s="144"/>
    </row>
    <row r="305" spans="1:22" ht="14" x14ac:dyDescent="0.15">
      <c r="A305" s="144"/>
      <c r="B305" s="144"/>
      <c r="C305" s="145"/>
      <c r="D305" s="145"/>
      <c r="E305" s="148"/>
      <c r="F305" s="155"/>
      <c r="G305" s="144"/>
      <c r="H305" s="144"/>
      <c r="I305" s="144"/>
      <c r="J305" s="145"/>
      <c r="K305" s="145"/>
      <c r="L305" s="154"/>
      <c r="M305" s="155"/>
      <c r="N305" s="144"/>
      <c r="O305" s="144"/>
      <c r="P305" s="144"/>
      <c r="Q305" s="145"/>
      <c r="R305" s="145"/>
      <c r="S305" s="154"/>
      <c r="T305" s="155"/>
      <c r="U305" s="144"/>
      <c r="V305" s="144"/>
    </row>
    <row r="306" spans="1:22" ht="14" x14ac:dyDescent="0.15">
      <c r="A306" s="144"/>
      <c r="B306" s="144"/>
      <c r="C306" s="145"/>
      <c r="D306" s="145"/>
      <c r="E306" s="148"/>
      <c r="F306" s="155"/>
      <c r="G306" s="144"/>
      <c r="H306" s="144"/>
      <c r="I306" s="144"/>
      <c r="J306" s="145"/>
      <c r="K306" s="145"/>
      <c r="L306" s="154"/>
      <c r="M306" s="155"/>
      <c r="N306" s="144"/>
      <c r="O306" s="144"/>
      <c r="P306" s="144"/>
      <c r="Q306" s="145"/>
      <c r="R306" s="145"/>
      <c r="S306" s="154"/>
      <c r="T306" s="155"/>
      <c r="U306" s="144"/>
      <c r="V306" s="144"/>
    </row>
    <row r="307" spans="1:22" ht="14" x14ac:dyDescent="0.15">
      <c r="A307" s="144"/>
      <c r="B307" s="144"/>
      <c r="C307" s="145"/>
      <c r="D307" s="145"/>
      <c r="E307" s="148"/>
      <c r="F307" s="155"/>
      <c r="G307" s="144"/>
      <c r="H307" s="144"/>
      <c r="I307" s="144"/>
      <c r="J307" s="145"/>
      <c r="K307" s="145"/>
      <c r="L307" s="154"/>
      <c r="M307" s="155"/>
      <c r="N307" s="144"/>
      <c r="O307" s="144"/>
      <c r="P307" s="144"/>
      <c r="Q307" s="145"/>
      <c r="R307" s="145"/>
      <c r="S307" s="154"/>
      <c r="T307" s="155"/>
      <c r="U307" s="144"/>
      <c r="V307" s="144"/>
    </row>
    <row r="308" spans="1:22" ht="14" x14ac:dyDescent="0.15">
      <c r="A308" s="144"/>
      <c r="B308" s="144"/>
      <c r="C308" s="145"/>
      <c r="D308" s="145"/>
      <c r="E308" s="148"/>
      <c r="F308" s="155"/>
      <c r="G308" s="144"/>
      <c r="H308" s="144"/>
      <c r="I308" s="144"/>
      <c r="J308" s="145"/>
      <c r="K308" s="145"/>
      <c r="L308" s="154"/>
      <c r="M308" s="155"/>
      <c r="N308" s="144"/>
      <c r="O308" s="144"/>
      <c r="P308" s="144"/>
      <c r="Q308" s="145"/>
      <c r="R308" s="145"/>
      <c r="S308" s="154"/>
      <c r="T308" s="155"/>
      <c r="U308" s="144"/>
      <c r="V308" s="144"/>
    </row>
    <row r="309" spans="1:22" ht="14" x14ac:dyDescent="0.15">
      <c r="A309" s="144"/>
      <c r="B309" s="144"/>
      <c r="C309" s="145"/>
      <c r="D309" s="145"/>
      <c r="E309" s="148"/>
      <c r="F309" s="155"/>
      <c r="G309" s="144"/>
      <c r="H309" s="144"/>
      <c r="I309" s="144"/>
      <c r="J309" s="145"/>
      <c r="K309" s="145"/>
      <c r="L309" s="154"/>
      <c r="M309" s="155"/>
      <c r="N309" s="144"/>
      <c r="O309" s="144"/>
      <c r="P309" s="144"/>
      <c r="Q309" s="145"/>
      <c r="R309" s="145"/>
      <c r="S309" s="154"/>
      <c r="T309" s="155"/>
      <c r="U309" s="144"/>
      <c r="V309" s="144"/>
    </row>
    <row r="310" spans="1:22" ht="14" x14ac:dyDescent="0.15">
      <c r="A310" s="144"/>
      <c r="B310" s="144"/>
      <c r="C310" s="145"/>
      <c r="D310" s="145"/>
      <c r="E310" s="148"/>
      <c r="F310" s="155"/>
      <c r="G310" s="144"/>
      <c r="H310" s="144"/>
      <c r="I310" s="144"/>
      <c r="J310" s="145"/>
      <c r="K310" s="145"/>
      <c r="L310" s="154"/>
      <c r="M310" s="155"/>
      <c r="N310" s="144"/>
      <c r="O310" s="144"/>
      <c r="P310" s="144"/>
      <c r="Q310" s="145"/>
      <c r="R310" s="145"/>
      <c r="S310" s="154"/>
      <c r="T310" s="155"/>
      <c r="U310" s="144"/>
      <c r="V310" s="144"/>
    </row>
    <row r="311" spans="1:22" ht="14" x14ac:dyDescent="0.15">
      <c r="A311" s="144"/>
      <c r="B311" s="144"/>
      <c r="C311" s="145"/>
      <c r="D311" s="145"/>
      <c r="E311" s="148"/>
      <c r="F311" s="155"/>
      <c r="G311" s="144"/>
      <c r="H311" s="144"/>
      <c r="I311" s="144"/>
      <c r="J311" s="145"/>
      <c r="K311" s="145"/>
      <c r="L311" s="154"/>
      <c r="M311" s="155"/>
      <c r="N311" s="144"/>
      <c r="O311" s="144"/>
      <c r="P311" s="144"/>
      <c r="Q311" s="145"/>
      <c r="R311" s="145"/>
      <c r="S311" s="154"/>
      <c r="T311" s="155"/>
      <c r="U311" s="144"/>
      <c r="V311" s="144"/>
    </row>
    <row r="312" spans="1:22" ht="14" x14ac:dyDescent="0.15">
      <c r="A312" s="144"/>
      <c r="B312" s="144"/>
      <c r="C312" s="145"/>
      <c r="D312" s="145"/>
      <c r="E312" s="148"/>
      <c r="F312" s="155"/>
      <c r="G312" s="144"/>
      <c r="H312" s="144"/>
      <c r="I312" s="144"/>
      <c r="J312" s="145"/>
      <c r="K312" s="145"/>
      <c r="L312" s="154"/>
      <c r="M312" s="155"/>
      <c r="N312" s="144"/>
      <c r="O312" s="144"/>
      <c r="P312" s="144"/>
      <c r="Q312" s="145"/>
      <c r="R312" s="145"/>
      <c r="S312" s="154"/>
      <c r="T312" s="155"/>
      <c r="U312" s="144"/>
      <c r="V312" s="144"/>
    </row>
    <row r="313" spans="1:22" ht="14" x14ac:dyDescent="0.15">
      <c r="A313" s="144"/>
      <c r="B313" s="144"/>
      <c r="C313" s="145"/>
      <c r="D313" s="145"/>
      <c r="E313" s="148"/>
      <c r="F313" s="155"/>
      <c r="G313" s="144"/>
      <c r="H313" s="144"/>
      <c r="I313" s="144"/>
      <c r="J313" s="145"/>
      <c r="K313" s="145"/>
      <c r="L313" s="154"/>
      <c r="M313" s="155"/>
      <c r="N313" s="144"/>
      <c r="O313" s="144"/>
      <c r="P313" s="144"/>
      <c r="Q313" s="145"/>
      <c r="R313" s="145"/>
      <c r="S313" s="154"/>
      <c r="T313" s="155"/>
      <c r="U313" s="144"/>
      <c r="V313" s="144"/>
    </row>
    <row r="314" spans="1:22" ht="14" x14ac:dyDescent="0.15">
      <c r="A314" s="144"/>
      <c r="B314" s="144"/>
      <c r="C314" s="145"/>
      <c r="D314" s="145"/>
      <c r="E314" s="148"/>
      <c r="F314" s="155"/>
      <c r="G314" s="144"/>
      <c r="H314" s="144"/>
      <c r="I314" s="144"/>
      <c r="J314" s="145"/>
      <c r="K314" s="145"/>
      <c r="L314" s="154"/>
      <c r="M314" s="155"/>
      <c r="N314" s="144"/>
      <c r="O314" s="144"/>
      <c r="P314" s="144"/>
      <c r="Q314" s="145"/>
      <c r="R314" s="145"/>
      <c r="S314" s="154"/>
      <c r="T314" s="155"/>
      <c r="U314" s="144"/>
      <c r="V314" s="144"/>
    </row>
    <row r="315" spans="1:22" ht="14" x14ac:dyDescent="0.15">
      <c r="A315" s="144"/>
      <c r="B315" s="144"/>
      <c r="C315" s="145"/>
      <c r="D315" s="145"/>
      <c r="E315" s="148"/>
      <c r="F315" s="155"/>
      <c r="G315" s="144"/>
      <c r="H315" s="144"/>
      <c r="I315" s="144"/>
      <c r="J315" s="145"/>
      <c r="K315" s="145"/>
      <c r="L315" s="154"/>
      <c r="M315" s="155"/>
      <c r="N315" s="144"/>
      <c r="O315" s="144"/>
      <c r="P315" s="144"/>
      <c r="Q315" s="145"/>
      <c r="R315" s="145"/>
      <c r="S315" s="154"/>
      <c r="T315" s="155"/>
      <c r="U315" s="144"/>
      <c r="V315" s="144"/>
    </row>
    <row r="316" spans="1:22" ht="14" x14ac:dyDescent="0.15">
      <c r="A316" s="144"/>
      <c r="B316" s="144"/>
      <c r="C316" s="145"/>
      <c r="D316" s="145"/>
      <c r="E316" s="148"/>
      <c r="F316" s="155"/>
      <c r="G316" s="144"/>
      <c r="H316" s="144"/>
      <c r="I316" s="144"/>
      <c r="J316" s="145"/>
      <c r="K316" s="145"/>
      <c r="L316" s="154"/>
      <c r="M316" s="155"/>
      <c r="N316" s="144"/>
      <c r="O316" s="144"/>
      <c r="P316" s="144"/>
      <c r="Q316" s="145"/>
      <c r="R316" s="145"/>
      <c r="S316" s="154"/>
      <c r="T316" s="155"/>
      <c r="U316" s="144"/>
      <c r="V316" s="144"/>
    </row>
    <row r="317" spans="1:22" ht="14" x14ac:dyDescent="0.15">
      <c r="A317" s="144"/>
      <c r="B317" s="144"/>
      <c r="C317" s="145"/>
      <c r="D317" s="145"/>
      <c r="E317" s="148"/>
      <c r="F317" s="155"/>
      <c r="G317" s="144"/>
      <c r="H317" s="144"/>
      <c r="I317" s="144"/>
      <c r="J317" s="145"/>
      <c r="K317" s="145"/>
      <c r="L317" s="154"/>
      <c r="M317" s="155"/>
      <c r="N317" s="144"/>
      <c r="O317" s="144"/>
      <c r="P317" s="144"/>
      <c r="Q317" s="145"/>
      <c r="R317" s="145"/>
      <c r="S317" s="154"/>
      <c r="T317" s="155"/>
      <c r="U317" s="144"/>
      <c r="V317" s="144"/>
    </row>
    <row r="318" spans="1:22" ht="14" x14ac:dyDescent="0.15">
      <c r="A318" s="144"/>
      <c r="B318" s="144"/>
      <c r="C318" s="145"/>
      <c r="D318" s="145"/>
      <c r="E318" s="148"/>
      <c r="F318" s="155"/>
      <c r="G318" s="144"/>
      <c r="H318" s="144"/>
      <c r="I318" s="144"/>
      <c r="J318" s="145"/>
      <c r="K318" s="145"/>
      <c r="L318" s="154"/>
      <c r="M318" s="155"/>
      <c r="N318" s="144"/>
      <c r="O318" s="144"/>
      <c r="P318" s="144"/>
      <c r="Q318" s="145"/>
      <c r="R318" s="145"/>
      <c r="S318" s="154"/>
      <c r="T318" s="155"/>
      <c r="U318" s="144"/>
      <c r="V318" s="144"/>
    </row>
    <row r="319" spans="1:22" ht="14" x14ac:dyDescent="0.15">
      <c r="A319" s="144"/>
      <c r="B319" s="144"/>
      <c r="C319" s="145"/>
      <c r="D319" s="145"/>
      <c r="E319" s="148"/>
      <c r="F319" s="155"/>
      <c r="G319" s="144"/>
      <c r="H319" s="144"/>
      <c r="I319" s="144"/>
      <c r="J319" s="145"/>
      <c r="K319" s="145"/>
      <c r="L319" s="154"/>
      <c r="M319" s="155"/>
      <c r="N319" s="144"/>
      <c r="O319" s="144"/>
      <c r="P319" s="144"/>
      <c r="Q319" s="145"/>
      <c r="R319" s="145"/>
      <c r="S319" s="154"/>
      <c r="T319" s="155"/>
      <c r="U319" s="144"/>
      <c r="V319" s="144"/>
    </row>
    <row r="320" spans="1:22" ht="14" x14ac:dyDescent="0.15">
      <c r="A320" s="144"/>
      <c r="B320" s="144"/>
      <c r="C320" s="145"/>
      <c r="D320" s="145"/>
      <c r="E320" s="148"/>
      <c r="F320" s="155"/>
      <c r="G320" s="144"/>
      <c r="H320" s="144"/>
      <c r="I320" s="144"/>
      <c r="J320" s="145"/>
      <c r="K320" s="145"/>
      <c r="L320" s="154"/>
      <c r="M320" s="155"/>
      <c r="N320" s="144"/>
      <c r="O320" s="144"/>
      <c r="P320" s="144"/>
      <c r="Q320" s="145"/>
      <c r="R320" s="145"/>
      <c r="S320" s="154"/>
      <c r="T320" s="155"/>
      <c r="U320" s="144"/>
      <c r="V320" s="144"/>
    </row>
    <row r="321" spans="1:22" ht="14" x14ac:dyDescent="0.15">
      <c r="A321" s="144"/>
      <c r="B321" s="144"/>
      <c r="C321" s="145"/>
      <c r="D321" s="145"/>
      <c r="E321" s="148"/>
      <c r="F321" s="155"/>
      <c r="G321" s="144"/>
      <c r="H321" s="144"/>
      <c r="I321" s="144"/>
      <c r="J321" s="145"/>
      <c r="K321" s="145"/>
      <c r="L321" s="154"/>
      <c r="M321" s="155"/>
      <c r="N321" s="144"/>
      <c r="O321" s="144"/>
      <c r="P321" s="144"/>
      <c r="Q321" s="145"/>
      <c r="R321" s="145"/>
      <c r="S321" s="154"/>
      <c r="T321" s="155"/>
      <c r="U321" s="144"/>
      <c r="V321" s="144"/>
    </row>
    <row r="322" spans="1:22" ht="14" x14ac:dyDescent="0.15">
      <c r="A322" s="144"/>
      <c r="B322" s="144"/>
      <c r="C322" s="145"/>
      <c r="D322" s="145"/>
      <c r="E322" s="148"/>
      <c r="F322" s="155"/>
      <c r="G322" s="144"/>
      <c r="H322" s="144"/>
      <c r="I322" s="144"/>
      <c r="J322" s="145"/>
      <c r="K322" s="145"/>
      <c r="L322" s="154"/>
      <c r="M322" s="155"/>
      <c r="N322" s="144"/>
      <c r="O322" s="144"/>
      <c r="P322" s="144"/>
      <c r="Q322" s="145"/>
      <c r="R322" s="145"/>
      <c r="S322" s="154"/>
      <c r="T322" s="155"/>
      <c r="U322" s="144"/>
      <c r="V322" s="144"/>
    </row>
    <row r="323" spans="1:22" ht="14" x14ac:dyDescent="0.15">
      <c r="A323" s="144"/>
      <c r="B323" s="144"/>
      <c r="C323" s="145"/>
      <c r="D323" s="145"/>
      <c r="E323" s="148"/>
      <c r="F323" s="155"/>
      <c r="G323" s="144"/>
      <c r="H323" s="144"/>
      <c r="I323" s="144"/>
      <c r="J323" s="145"/>
      <c r="K323" s="145"/>
      <c r="L323" s="154"/>
      <c r="M323" s="155"/>
      <c r="N323" s="144"/>
      <c r="O323" s="144"/>
      <c r="P323" s="144"/>
      <c r="Q323" s="145"/>
      <c r="R323" s="145"/>
      <c r="S323" s="154"/>
      <c r="T323" s="155"/>
      <c r="U323" s="144"/>
      <c r="V323" s="144"/>
    </row>
    <row r="324" spans="1:22" ht="14" x14ac:dyDescent="0.15">
      <c r="A324" s="144"/>
      <c r="B324" s="144"/>
      <c r="C324" s="145"/>
      <c r="D324" s="145"/>
      <c r="E324" s="148"/>
      <c r="F324" s="155"/>
      <c r="G324" s="144"/>
      <c r="H324" s="144"/>
      <c r="I324" s="144"/>
      <c r="J324" s="145"/>
      <c r="K324" s="145"/>
      <c r="L324" s="154"/>
      <c r="M324" s="155"/>
      <c r="N324" s="144"/>
      <c r="O324" s="144"/>
      <c r="P324" s="144"/>
      <c r="Q324" s="145"/>
      <c r="R324" s="145"/>
      <c r="S324" s="154"/>
      <c r="T324" s="155"/>
      <c r="U324" s="144"/>
      <c r="V324" s="144"/>
    </row>
    <row r="325" spans="1:22" ht="14" x14ac:dyDescent="0.15">
      <c r="A325" s="144"/>
      <c r="B325" s="144"/>
      <c r="C325" s="145"/>
      <c r="D325" s="145"/>
      <c r="E325" s="148"/>
      <c r="F325" s="155"/>
      <c r="G325" s="144"/>
      <c r="H325" s="144"/>
      <c r="I325" s="144"/>
      <c r="J325" s="145"/>
      <c r="K325" s="145"/>
      <c r="L325" s="154"/>
      <c r="M325" s="155"/>
      <c r="N325" s="144"/>
      <c r="O325" s="144"/>
      <c r="P325" s="144"/>
      <c r="Q325" s="145"/>
      <c r="R325" s="145"/>
      <c r="S325" s="154"/>
      <c r="T325" s="155"/>
      <c r="U325" s="144"/>
      <c r="V325" s="144"/>
    </row>
    <row r="326" spans="1:22" ht="14" x14ac:dyDescent="0.15">
      <c r="A326" s="144"/>
      <c r="B326" s="144"/>
      <c r="C326" s="145"/>
      <c r="D326" s="145"/>
      <c r="E326" s="148"/>
      <c r="F326" s="155"/>
      <c r="G326" s="144"/>
      <c r="H326" s="144"/>
      <c r="I326" s="144"/>
      <c r="J326" s="145"/>
      <c r="K326" s="145"/>
      <c r="L326" s="154"/>
      <c r="M326" s="155"/>
      <c r="N326" s="144"/>
      <c r="O326" s="144"/>
      <c r="P326" s="144"/>
      <c r="Q326" s="145"/>
      <c r="R326" s="145"/>
      <c r="S326" s="154"/>
      <c r="T326" s="155"/>
      <c r="U326" s="144"/>
      <c r="V326" s="144"/>
    </row>
    <row r="327" spans="1:22" ht="14" x14ac:dyDescent="0.15">
      <c r="A327" s="144"/>
      <c r="B327" s="144"/>
      <c r="C327" s="145"/>
      <c r="D327" s="145"/>
      <c r="E327" s="148"/>
      <c r="F327" s="155"/>
      <c r="G327" s="144"/>
      <c r="H327" s="144"/>
      <c r="I327" s="144"/>
      <c r="J327" s="145"/>
      <c r="K327" s="145"/>
      <c r="L327" s="154"/>
      <c r="M327" s="155"/>
      <c r="N327" s="144"/>
      <c r="O327" s="144"/>
      <c r="P327" s="144"/>
      <c r="Q327" s="145"/>
      <c r="R327" s="145"/>
      <c r="S327" s="154"/>
      <c r="T327" s="155"/>
      <c r="U327" s="144"/>
      <c r="V327" s="144"/>
    </row>
    <row r="328" spans="1:22" ht="14" x14ac:dyDescent="0.15">
      <c r="A328" s="144"/>
      <c r="B328" s="144"/>
      <c r="C328" s="145"/>
      <c r="D328" s="145"/>
      <c r="E328" s="148"/>
      <c r="F328" s="155"/>
      <c r="G328" s="144"/>
      <c r="H328" s="144"/>
      <c r="I328" s="144"/>
      <c r="J328" s="145"/>
      <c r="K328" s="145"/>
      <c r="L328" s="154"/>
      <c r="M328" s="155"/>
      <c r="N328" s="144"/>
      <c r="O328" s="144"/>
      <c r="P328" s="144"/>
      <c r="Q328" s="145"/>
      <c r="R328" s="145"/>
      <c r="S328" s="154"/>
      <c r="T328" s="155"/>
      <c r="U328" s="144"/>
      <c r="V328" s="144"/>
    </row>
    <row r="329" spans="1:22" ht="14" x14ac:dyDescent="0.15">
      <c r="A329" s="144"/>
      <c r="B329" s="144"/>
      <c r="C329" s="145"/>
      <c r="D329" s="145"/>
      <c r="E329" s="148"/>
      <c r="F329" s="155"/>
      <c r="G329" s="144"/>
      <c r="H329" s="144"/>
      <c r="I329" s="144"/>
      <c r="J329" s="145"/>
      <c r="K329" s="145"/>
      <c r="L329" s="154"/>
      <c r="M329" s="155"/>
      <c r="N329" s="144"/>
      <c r="O329" s="144"/>
      <c r="P329" s="144"/>
      <c r="Q329" s="145"/>
      <c r="R329" s="145"/>
      <c r="S329" s="154"/>
      <c r="T329" s="155"/>
      <c r="U329" s="144"/>
      <c r="V329" s="144"/>
    </row>
    <row r="330" spans="1:22" ht="14" x14ac:dyDescent="0.15">
      <c r="A330" s="144"/>
      <c r="B330" s="144"/>
      <c r="C330" s="145"/>
      <c r="D330" s="145"/>
      <c r="E330" s="148"/>
      <c r="F330" s="155"/>
      <c r="G330" s="144"/>
      <c r="H330" s="144"/>
      <c r="I330" s="144"/>
      <c r="J330" s="145"/>
      <c r="K330" s="145"/>
      <c r="L330" s="154"/>
      <c r="M330" s="155"/>
      <c r="N330" s="144"/>
      <c r="O330" s="144"/>
      <c r="P330" s="144"/>
      <c r="Q330" s="145"/>
      <c r="R330" s="145"/>
      <c r="S330" s="154"/>
      <c r="T330" s="155"/>
      <c r="U330" s="144"/>
      <c r="V330" s="144"/>
    </row>
    <row r="331" spans="1:22" ht="14" x14ac:dyDescent="0.15">
      <c r="A331" s="144"/>
      <c r="B331" s="144"/>
      <c r="C331" s="145"/>
      <c r="D331" s="145"/>
      <c r="E331" s="148"/>
      <c r="F331" s="155"/>
      <c r="G331" s="144"/>
      <c r="H331" s="144"/>
      <c r="I331" s="144"/>
      <c r="J331" s="145"/>
      <c r="K331" s="145"/>
      <c r="L331" s="154"/>
      <c r="M331" s="155"/>
      <c r="N331" s="144"/>
      <c r="O331" s="144"/>
      <c r="P331" s="144"/>
      <c r="Q331" s="145"/>
      <c r="R331" s="145"/>
      <c r="S331" s="154"/>
      <c r="T331" s="155"/>
      <c r="U331" s="144"/>
      <c r="V331" s="144"/>
    </row>
    <row r="332" spans="1:22" ht="14" x14ac:dyDescent="0.15">
      <c r="A332" s="144"/>
      <c r="B332" s="144"/>
      <c r="C332" s="145"/>
      <c r="D332" s="145"/>
      <c r="E332" s="148"/>
      <c r="F332" s="155"/>
      <c r="G332" s="144"/>
      <c r="H332" s="144"/>
      <c r="I332" s="144"/>
      <c r="J332" s="145"/>
      <c r="K332" s="145"/>
      <c r="L332" s="154"/>
      <c r="M332" s="155"/>
      <c r="N332" s="144"/>
      <c r="O332" s="144"/>
      <c r="P332" s="144"/>
      <c r="Q332" s="145"/>
      <c r="R332" s="145"/>
      <c r="S332" s="154"/>
      <c r="T332" s="155"/>
      <c r="U332" s="144"/>
      <c r="V332" s="144"/>
    </row>
    <row r="333" spans="1:22" ht="14" x14ac:dyDescent="0.15">
      <c r="A333" s="144"/>
      <c r="B333" s="144"/>
      <c r="C333" s="145"/>
      <c r="D333" s="145"/>
      <c r="E333" s="148"/>
      <c r="F333" s="155"/>
      <c r="G333" s="144"/>
      <c r="H333" s="144"/>
      <c r="I333" s="144"/>
      <c r="J333" s="145"/>
      <c r="K333" s="145"/>
      <c r="L333" s="154"/>
      <c r="M333" s="155"/>
      <c r="N333" s="144"/>
      <c r="O333" s="144"/>
      <c r="P333" s="144"/>
      <c r="Q333" s="145"/>
      <c r="R333" s="145"/>
      <c r="S333" s="154"/>
      <c r="T333" s="155"/>
      <c r="U333" s="144"/>
      <c r="V333" s="144"/>
    </row>
    <row r="334" spans="1:22" ht="14" x14ac:dyDescent="0.15">
      <c r="A334" s="144"/>
      <c r="B334" s="144"/>
      <c r="C334" s="145"/>
      <c r="D334" s="145"/>
      <c r="E334" s="148"/>
      <c r="F334" s="155"/>
      <c r="G334" s="144"/>
      <c r="H334" s="144"/>
      <c r="I334" s="144"/>
      <c r="J334" s="145"/>
      <c r="K334" s="145"/>
      <c r="L334" s="154"/>
      <c r="M334" s="155"/>
      <c r="N334" s="144"/>
      <c r="O334" s="144"/>
      <c r="P334" s="144"/>
      <c r="Q334" s="145"/>
      <c r="R334" s="145"/>
      <c r="S334" s="154"/>
      <c r="T334" s="155"/>
      <c r="U334" s="144"/>
      <c r="V334" s="144"/>
    </row>
    <row r="335" spans="1:22" ht="14" x14ac:dyDescent="0.15">
      <c r="A335" s="144"/>
      <c r="B335" s="144"/>
      <c r="C335" s="145"/>
      <c r="D335" s="145"/>
      <c r="E335" s="148"/>
      <c r="F335" s="155"/>
      <c r="G335" s="144"/>
      <c r="H335" s="144"/>
      <c r="I335" s="144"/>
      <c r="J335" s="145"/>
      <c r="K335" s="145"/>
      <c r="L335" s="154"/>
      <c r="M335" s="155"/>
      <c r="N335" s="144"/>
      <c r="O335" s="144"/>
      <c r="P335" s="144"/>
      <c r="Q335" s="145"/>
      <c r="R335" s="145"/>
      <c r="S335" s="154"/>
      <c r="T335" s="155"/>
      <c r="U335" s="144"/>
      <c r="V335" s="144"/>
    </row>
    <row r="336" spans="1:22" ht="14" x14ac:dyDescent="0.15">
      <c r="A336" s="144"/>
      <c r="B336" s="144"/>
      <c r="C336" s="145"/>
      <c r="D336" s="145"/>
      <c r="E336" s="148"/>
      <c r="F336" s="155"/>
      <c r="G336" s="144"/>
      <c r="H336" s="144"/>
      <c r="I336" s="144"/>
      <c r="J336" s="145"/>
      <c r="K336" s="145"/>
      <c r="L336" s="154"/>
      <c r="M336" s="155"/>
      <c r="N336" s="144"/>
      <c r="O336" s="144"/>
      <c r="P336" s="144"/>
      <c r="Q336" s="145"/>
      <c r="R336" s="145"/>
      <c r="S336" s="154"/>
      <c r="T336" s="155"/>
      <c r="U336" s="144"/>
      <c r="V336" s="144"/>
    </row>
    <row r="337" spans="1:22" ht="14" x14ac:dyDescent="0.15">
      <c r="A337" s="144"/>
      <c r="B337" s="144"/>
      <c r="C337" s="145"/>
      <c r="D337" s="145"/>
      <c r="E337" s="148"/>
      <c r="F337" s="155"/>
      <c r="G337" s="144"/>
      <c r="H337" s="144"/>
      <c r="I337" s="144"/>
      <c r="J337" s="145"/>
      <c r="K337" s="145"/>
      <c r="L337" s="154"/>
      <c r="M337" s="155"/>
      <c r="N337" s="144"/>
      <c r="O337" s="144"/>
      <c r="P337" s="144"/>
      <c r="Q337" s="145"/>
      <c r="R337" s="145"/>
      <c r="S337" s="154"/>
      <c r="T337" s="155"/>
      <c r="U337" s="144"/>
      <c r="V337" s="144"/>
    </row>
    <row r="338" spans="1:22" ht="14" x14ac:dyDescent="0.15">
      <c r="A338" s="144"/>
      <c r="B338" s="144"/>
      <c r="C338" s="145"/>
      <c r="D338" s="145"/>
      <c r="E338" s="148"/>
      <c r="F338" s="155"/>
      <c r="G338" s="144"/>
      <c r="H338" s="144"/>
      <c r="I338" s="144"/>
      <c r="J338" s="145"/>
      <c r="K338" s="145"/>
      <c r="L338" s="154"/>
      <c r="M338" s="155"/>
      <c r="N338" s="144"/>
      <c r="O338" s="144"/>
      <c r="P338" s="144"/>
      <c r="Q338" s="145"/>
      <c r="R338" s="145"/>
      <c r="S338" s="154"/>
      <c r="T338" s="155"/>
      <c r="U338" s="144"/>
      <c r="V338" s="144"/>
    </row>
    <row r="339" spans="1:22" ht="14" x14ac:dyDescent="0.15">
      <c r="A339" s="144"/>
      <c r="B339" s="144"/>
      <c r="C339" s="145"/>
      <c r="D339" s="145"/>
      <c r="E339" s="148"/>
      <c r="F339" s="155"/>
      <c r="G339" s="144"/>
      <c r="H339" s="144"/>
      <c r="I339" s="144"/>
      <c r="J339" s="145"/>
      <c r="K339" s="145"/>
      <c r="L339" s="154"/>
      <c r="M339" s="155"/>
      <c r="N339" s="144"/>
      <c r="O339" s="144"/>
      <c r="P339" s="144"/>
      <c r="Q339" s="145"/>
      <c r="R339" s="145"/>
      <c r="S339" s="154"/>
      <c r="T339" s="155"/>
      <c r="U339" s="144"/>
      <c r="V339" s="144"/>
    </row>
    <row r="340" spans="1:22" ht="14" x14ac:dyDescent="0.15">
      <c r="A340" s="144"/>
      <c r="B340" s="144"/>
      <c r="C340" s="145"/>
      <c r="D340" s="145"/>
      <c r="E340" s="148"/>
      <c r="F340" s="155"/>
      <c r="G340" s="144"/>
      <c r="H340" s="144"/>
      <c r="I340" s="144"/>
      <c r="J340" s="145"/>
      <c r="K340" s="145"/>
      <c r="L340" s="154"/>
      <c r="M340" s="155"/>
      <c r="N340" s="144"/>
      <c r="O340" s="144"/>
      <c r="P340" s="144"/>
      <c r="Q340" s="145"/>
      <c r="R340" s="145"/>
      <c r="S340" s="154"/>
      <c r="T340" s="155"/>
      <c r="U340" s="144"/>
      <c r="V340" s="144"/>
    </row>
    <row r="341" spans="1:22" ht="14" x14ac:dyDescent="0.15">
      <c r="A341" s="144"/>
      <c r="B341" s="144"/>
      <c r="C341" s="145"/>
      <c r="D341" s="145"/>
      <c r="E341" s="148"/>
      <c r="F341" s="155"/>
      <c r="G341" s="144"/>
      <c r="H341" s="144"/>
      <c r="I341" s="144"/>
      <c r="J341" s="145"/>
      <c r="K341" s="145"/>
      <c r="L341" s="154"/>
      <c r="M341" s="155"/>
      <c r="N341" s="144"/>
      <c r="O341" s="144"/>
      <c r="P341" s="144"/>
      <c r="Q341" s="145"/>
      <c r="R341" s="145"/>
      <c r="S341" s="154"/>
      <c r="T341" s="155"/>
      <c r="U341" s="144"/>
      <c r="V341" s="144"/>
    </row>
    <row r="342" spans="1:22" ht="14" x14ac:dyDescent="0.15">
      <c r="A342" s="144"/>
      <c r="B342" s="144"/>
      <c r="C342" s="145"/>
      <c r="D342" s="145"/>
      <c r="E342" s="148"/>
      <c r="F342" s="155"/>
      <c r="G342" s="144"/>
      <c r="H342" s="144"/>
      <c r="I342" s="144"/>
      <c r="J342" s="145"/>
      <c r="K342" s="145"/>
      <c r="L342" s="154"/>
      <c r="M342" s="155"/>
      <c r="N342" s="144"/>
      <c r="O342" s="144"/>
      <c r="P342" s="144"/>
      <c r="Q342" s="145"/>
      <c r="R342" s="145"/>
      <c r="S342" s="154"/>
      <c r="T342" s="155"/>
      <c r="U342" s="144"/>
      <c r="V342" s="144"/>
    </row>
    <row r="343" spans="1:22" ht="14" x14ac:dyDescent="0.15">
      <c r="A343" s="144"/>
      <c r="B343" s="144"/>
      <c r="C343" s="145"/>
      <c r="D343" s="145"/>
      <c r="E343" s="148"/>
      <c r="F343" s="155"/>
      <c r="G343" s="144"/>
      <c r="H343" s="144"/>
      <c r="I343" s="144"/>
      <c r="J343" s="145"/>
      <c r="K343" s="145"/>
      <c r="L343" s="154"/>
      <c r="M343" s="155"/>
      <c r="N343" s="144"/>
      <c r="O343" s="144"/>
      <c r="P343" s="144"/>
      <c r="Q343" s="145"/>
      <c r="R343" s="145"/>
      <c r="S343" s="154"/>
      <c r="T343" s="155"/>
      <c r="U343" s="144"/>
      <c r="V343" s="144"/>
    </row>
    <row r="344" spans="1:22" ht="14" x14ac:dyDescent="0.15">
      <c r="A344" s="144"/>
      <c r="B344" s="144"/>
      <c r="C344" s="145"/>
      <c r="D344" s="145"/>
      <c r="E344" s="148"/>
      <c r="F344" s="155"/>
      <c r="G344" s="144"/>
      <c r="H344" s="144"/>
      <c r="I344" s="144"/>
      <c r="J344" s="145"/>
      <c r="K344" s="145"/>
      <c r="L344" s="154"/>
      <c r="M344" s="155"/>
      <c r="N344" s="144"/>
      <c r="O344" s="144"/>
      <c r="P344" s="144"/>
      <c r="Q344" s="145"/>
      <c r="R344" s="145"/>
      <c r="S344" s="154"/>
      <c r="T344" s="155"/>
      <c r="U344" s="144"/>
      <c r="V344" s="144"/>
    </row>
    <row r="345" spans="1:22" ht="14" x14ac:dyDescent="0.15">
      <c r="A345" s="144"/>
      <c r="B345" s="144"/>
      <c r="C345" s="145"/>
      <c r="D345" s="145"/>
      <c r="E345" s="148"/>
      <c r="F345" s="155"/>
      <c r="G345" s="144"/>
      <c r="H345" s="144"/>
      <c r="I345" s="144"/>
      <c r="J345" s="145"/>
      <c r="K345" s="145"/>
      <c r="L345" s="154"/>
      <c r="M345" s="155"/>
      <c r="N345" s="144"/>
      <c r="O345" s="144"/>
      <c r="P345" s="144"/>
      <c r="Q345" s="145"/>
      <c r="R345" s="145"/>
      <c r="S345" s="154"/>
      <c r="T345" s="155"/>
      <c r="U345" s="144"/>
      <c r="V345" s="144"/>
    </row>
    <row r="346" spans="1:22" ht="14" x14ac:dyDescent="0.15">
      <c r="A346" s="144"/>
      <c r="B346" s="144"/>
      <c r="C346" s="145"/>
      <c r="D346" s="145"/>
      <c r="E346" s="148"/>
      <c r="F346" s="155"/>
      <c r="G346" s="144"/>
      <c r="H346" s="144"/>
      <c r="I346" s="144"/>
      <c r="J346" s="145"/>
      <c r="K346" s="145"/>
      <c r="L346" s="154"/>
      <c r="M346" s="155"/>
      <c r="N346" s="144"/>
      <c r="O346" s="144"/>
      <c r="P346" s="144"/>
      <c r="Q346" s="145"/>
      <c r="R346" s="145"/>
      <c r="S346" s="154"/>
      <c r="T346" s="155"/>
      <c r="U346" s="144"/>
      <c r="V346" s="144"/>
    </row>
    <row r="347" spans="1:22" ht="14" x14ac:dyDescent="0.15">
      <c r="A347" s="144"/>
      <c r="B347" s="144"/>
      <c r="C347" s="145"/>
      <c r="D347" s="145"/>
      <c r="E347" s="148"/>
      <c r="F347" s="155"/>
      <c r="G347" s="144"/>
      <c r="H347" s="144"/>
      <c r="I347" s="144"/>
      <c r="J347" s="145"/>
      <c r="K347" s="145"/>
      <c r="L347" s="154"/>
      <c r="M347" s="155"/>
      <c r="N347" s="144"/>
      <c r="O347" s="144"/>
      <c r="P347" s="144"/>
      <c r="Q347" s="145"/>
      <c r="R347" s="145"/>
      <c r="S347" s="154"/>
      <c r="T347" s="155"/>
      <c r="U347" s="144"/>
      <c r="V347" s="144"/>
    </row>
    <row r="348" spans="1:22" ht="14" x14ac:dyDescent="0.15">
      <c r="A348" s="144"/>
      <c r="B348" s="144"/>
      <c r="C348" s="145"/>
      <c r="D348" s="145"/>
      <c r="E348" s="148"/>
      <c r="F348" s="155"/>
      <c r="G348" s="144"/>
      <c r="H348" s="144"/>
      <c r="I348" s="144"/>
      <c r="J348" s="145"/>
      <c r="K348" s="145"/>
      <c r="L348" s="154"/>
      <c r="M348" s="155"/>
      <c r="N348" s="144"/>
      <c r="O348" s="144"/>
      <c r="P348" s="144"/>
      <c r="Q348" s="145"/>
      <c r="R348" s="145"/>
      <c r="S348" s="154"/>
      <c r="T348" s="155"/>
      <c r="U348" s="144"/>
      <c r="V348" s="144"/>
    </row>
    <row r="349" spans="1:22" ht="14" x14ac:dyDescent="0.15">
      <c r="A349" s="144"/>
      <c r="B349" s="144"/>
      <c r="C349" s="145"/>
      <c r="D349" s="145"/>
      <c r="E349" s="148"/>
      <c r="F349" s="155"/>
      <c r="G349" s="144"/>
      <c r="H349" s="144"/>
      <c r="I349" s="144"/>
      <c r="J349" s="145"/>
      <c r="K349" s="145"/>
      <c r="L349" s="154"/>
      <c r="M349" s="155"/>
      <c r="N349" s="144"/>
      <c r="O349" s="144"/>
      <c r="P349" s="144"/>
      <c r="Q349" s="145"/>
      <c r="R349" s="145"/>
      <c r="S349" s="154"/>
      <c r="T349" s="155"/>
      <c r="U349" s="144"/>
      <c r="V349" s="144"/>
    </row>
    <row r="350" spans="1:22" ht="14" x14ac:dyDescent="0.15">
      <c r="A350" s="144"/>
      <c r="B350" s="144"/>
      <c r="C350" s="145"/>
      <c r="D350" s="145"/>
      <c r="E350" s="148"/>
      <c r="F350" s="155"/>
      <c r="G350" s="144"/>
      <c r="H350" s="144"/>
      <c r="I350" s="144"/>
      <c r="J350" s="145"/>
      <c r="K350" s="145"/>
      <c r="L350" s="154"/>
      <c r="M350" s="155"/>
      <c r="N350" s="144"/>
      <c r="O350" s="144"/>
      <c r="P350" s="144"/>
      <c r="Q350" s="145"/>
      <c r="R350" s="145"/>
      <c r="S350" s="154"/>
      <c r="T350" s="155"/>
      <c r="U350" s="144"/>
      <c r="V350" s="144"/>
    </row>
    <row r="351" spans="1:22" ht="14" x14ac:dyDescent="0.15">
      <c r="A351" s="144"/>
      <c r="B351" s="144"/>
      <c r="C351" s="145"/>
      <c r="D351" s="145"/>
      <c r="E351" s="148"/>
      <c r="F351" s="155"/>
      <c r="G351" s="144"/>
      <c r="H351" s="144"/>
      <c r="I351" s="144"/>
      <c r="J351" s="145"/>
      <c r="K351" s="145"/>
      <c r="L351" s="154"/>
      <c r="M351" s="155"/>
      <c r="N351" s="144"/>
      <c r="O351" s="144"/>
      <c r="P351" s="144"/>
      <c r="Q351" s="145"/>
      <c r="R351" s="145"/>
      <c r="S351" s="154"/>
      <c r="T351" s="155"/>
      <c r="U351" s="144"/>
      <c r="V351" s="144"/>
    </row>
    <row r="352" spans="1:22" ht="14" x14ac:dyDescent="0.15">
      <c r="A352" s="144"/>
      <c r="B352" s="144"/>
      <c r="C352" s="145"/>
      <c r="D352" s="145"/>
      <c r="E352" s="148"/>
      <c r="F352" s="155"/>
      <c r="G352" s="144"/>
      <c r="H352" s="144"/>
      <c r="I352" s="144"/>
      <c r="J352" s="145"/>
      <c r="K352" s="145"/>
      <c r="L352" s="154"/>
      <c r="M352" s="155"/>
      <c r="N352" s="144"/>
      <c r="O352" s="144"/>
      <c r="P352" s="144"/>
      <c r="Q352" s="145"/>
      <c r="R352" s="145"/>
      <c r="S352" s="154"/>
      <c r="T352" s="155"/>
      <c r="U352" s="144"/>
      <c r="V352" s="144"/>
    </row>
    <row r="353" spans="1:22" ht="14" x14ac:dyDescent="0.15">
      <c r="A353" s="144"/>
      <c r="B353" s="144"/>
      <c r="C353" s="145"/>
      <c r="D353" s="145"/>
      <c r="E353" s="148"/>
      <c r="F353" s="155"/>
      <c r="G353" s="144"/>
      <c r="H353" s="144"/>
      <c r="I353" s="144"/>
      <c r="J353" s="145"/>
      <c r="K353" s="145"/>
      <c r="L353" s="154"/>
      <c r="M353" s="155"/>
      <c r="N353" s="144"/>
      <c r="O353" s="144"/>
      <c r="P353" s="144"/>
      <c r="Q353" s="145"/>
      <c r="R353" s="145"/>
      <c r="S353" s="154"/>
      <c r="T353" s="155"/>
      <c r="U353" s="144"/>
      <c r="V353" s="144"/>
    </row>
    <row r="354" spans="1:22" ht="14" x14ac:dyDescent="0.15">
      <c r="A354" s="144"/>
      <c r="B354" s="144"/>
      <c r="C354" s="145"/>
      <c r="D354" s="145"/>
      <c r="E354" s="148"/>
      <c r="F354" s="155"/>
      <c r="G354" s="144"/>
      <c r="H354" s="144"/>
      <c r="I354" s="144"/>
      <c r="J354" s="145"/>
      <c r="K354" s="145"/>
      <c r="L354" s="154"/>
      <c r="M354" s="155"/>
      <c r="N354" s="144"/>
      <c r="O354" s="144"/>
      <c r="P354" s="144"/>
      <c r="Q354" s="145"/>
      <c r="R354" s="145"/>
      <c r="S354" s="154"/>
      <c r="T354" s="155"/>
      <c r="U354" s="144"/>
      <c r="V354" s="144"/>
    </row>
    <row r="355" spans="1:22" ht="14" x14ac:dyDescent="0.15">
      <c r="A355" s="144"/>
      <c r="B355" s="144"/>
      <c r="C355" s="145"/>
      <c r="D355" s="145"/>
      <c r="E355" s="148"/>
      <c r="F355" s="155"/>
      <c r="G355" s="144"/>
      <c r="H355" s="144"/>
      <c r="I355" s="144"/>
      <c r="J355" s="145"/>
      <c r="K355" s="145"/>
      <c r="L355" s="154"/>
      <c r="M355" s="155"/>
      <c r="N355" s="144"/>
      <c r="O355" s="144"/>
      <c r="P355" s="144"/>
      <c r="Q355" s="145"/>
      <c r="R355" s="145"/>
      <c r="S355" s="154"/>
      <c r="T355" s="155"/>
      <c r="U355" s="144"/>
      <c r="V355" s="144"/>
    </row>
    <row r="356" spans="1:22" ht="14" x14ac:dyDescent="0.15">
      <c r="A356" s="144"/>
      <c r="B356" s="144"/>
      <c r="C356" s="145"/>
      <c r="D356" s="145"/>
      <c r="E356" s="148"/>
      <c r="F356" s="155"/>
      <c r="G356" s="144"/>
      <c r="H356" s="144"/>
      <c r="I356" s="144"/>
      <c r="J356" s="145"/>
      <c r="K356" s="145"/>
      <c r="L356" s="154"/>
      <c r="M356" s="155"/>
      <c r="N356" s="144"/>
      <c r="O356" s="144"/>
      <c r="P356" s="144"/>
      <c r="Q356" s="145"/>
      <c r="R356" s="145"/>
      <c r="S356" s="154"/>
      <c r="T356" s="155"/>
      <c r="U356" s="144"/>
      <c r="V356" s="144"/>
    </row>
    <row r="357" spans="1:22" ht="14" x14ac:dyDescent="0.15">
      <c r="A357" s="144"/>
      <c r="B357" s="144"/>
      <c r="C357" s="145"/>
      <c r="D357" s="145"/>
      <c r="E357" s="148"/>
      <c r="F357" s="155"/>
      <c r="G357" s="144"/>
      <c r="H357" s="144"/>
      <c r="I357" s="144"/>
      <c r="J357" s="145"/>
      <c r="K357" s="145"/>
      <c r="L357" s="154"/>
      <c r="M357" s="155"/>
      <c r="N357" s="144"/>
      <c r="O357" s="144"/>
      <c r="P357" s="144"/>
      <c r="Q357" s="145"/>
      <c r="R357" s="145"/>
      <c r="S357" s="154"/>
      <c r="T357" s="155"/>
      <c r="U357" s="144"/>
      <c r="V357" s="144"/>
    </row>
    <row r="358" spans="1:22" ht="14" x14ac:dyDescent="0.15">
      <c r="A358" s="144"/>
      <c r="B358" s="144"/>
      <c r="C358" s="145"/>
      <c r="D358" s="145"/>
      <c r="E358" s="148"/>
      <c r="F358" s="155"/>
      <c r="G358" s="144"/>
      <c r="H358" s="144"/>
      <c r="I358" s="144"/>
      <c r="J358" s="145"/>
      <c r="K358" s="145"/>
      <c r="L358" s="154"/>
      <c r="M358" s="155"/>
      <c r="N358" s="144"/>
      <c r="O358" s="144"/>
      <c r="P358" s="144"/>
      <c r="Q358" s="145"/>
      <c r="R358" s="145"/>
      <c r="S358" s="154"/>
      <c r="T358" s="155"/>
      <c r="U358" s="144"/>
      <c r="V358" s="144"/>
    </row>
    <row r="359" spans="1:22" ht="14" x14ac:dyDescent="0.15">
      <c r="A359" s="144"/>
      <c r="B359" s="144"/>
      <c r="C359" s="145"/>
      <c r="D359" s="145"/>
      <c r="E359" s="148"/>
      <c r="F359" s="155"/>
      <c r="G359" s="144"/>
      <c r="H359" s="144"/>
      <c r="I359" s="144"/>
      <c r="J359" s="145"/>
      <c r="K359" s="145"/>
      <c r="L359" s="154"/>
      <c r="M359" s="155"/>
      <c r="N359" s="144"/>
      <c r="O359" s="144"/>
      <c r="P359" s="144"/>
      <c r="Q359" s="145"/>
      <c r="R359" s="145"/>
      <c r="S359" s="154"/>
      <c r="T359" s="155"/>
      <c r="U359" s="144"/>
      <c r="V359" s="144"/>
    </row>
    <row r="360" spans="1:22" ht="14" x14ac:dyDescent="0.15">
      <c r="A360" s="144"/>
      <c r="B360" s="144"/>
      <c r="C360" s="145"/>
      <c r="D360" s="145"/>
      <c r="E360" s="148"/>
      <c r="F360" s="155"/>
      <c r="G360" s="144"/>
      <c r="H360" s="144"/>
      <c r="I360" s="144"/>
      <c r="J360" s="145"/>
      <c r="K360" s="145"/>
      <c r="L360" s="154"/>
      <c r="M360" s="155"/>
      <c r="N360" s="144"/>
      <c r="O360" s="144"/>
      <c r="P360" s="144"/>
      <c r="Q360" s="145"/>
      <c r="R360" s="145"/>
      <c r="S360" s="154"/>
      <c r="T360" s="155"/>
      <c r="U360" s="144"/>
      <c r="V360" s="144"/>
    </row>
    <row r="361" spans="1:22" ht="14" x14ac:dyDescent="0.15">
      <c r="A361" s="144"/>
      <c r="B361" s="144"/>
      <c r="C361" s="145"/>
      <c r="D361" s="145"/>
      <c r="E361" s="148"/>
      <c r="F361" s="155"/>
      <c r="G361" s="144"/>
      <c r="H361" s="144"/>
      <c r="I361" s="144"/>
      <c r="J361" s="145"/>
      <c r="K361" s="145"/>
      <c r="L361" s="154"/>
      <c r="M361" s="155"/>
      <c r="N361" s="144"/>
      <c r="O361" s="144"/>
      <c r="P361" s="144"/>
      <c r="Q361" s="145"/>
      <c r="R361" s="145"/>
      <c r="S361" s="154"/>
      <c r="T361" s="155"/>
      <c r="U361" s="144"/>
      <c r="V361" s="144"/>
    </row>
    <row r="362" spans="1:22" ht="14" x14ac:dyDescent="0.15">
      <c r="A362" s="144"/>
      <c r="B362" s="144"/>
      <c r="C362" s="145"/>
      <c r="D362" s="145"/>
      <c r="E362" s="148"/>
      <c r="F362" s="155"/>
      <c r="G362" s="144"/>
      <c r="H362" s="144"/>
      <c r="I362" s="144"/>
      <c r="J362" s="145"/>
      <c r="K362" s="145"/>
      <c r="L362" s="154"/>
      <c r="M362" s="155"/>
      <c r="N362" s="144"/>
      <c r="O362" s="144"/>
      <c r="P362" s="144"/>
      <c r="Q362" s="145"/>
      <c r="R362" s="145"/>
      <c r="S362" s="154"/>
      <c r="T362" s="155"/>
      <c r="U362" s="144"/>
      <c r="V362" s="144"/>
    </row>
    <row r="363" spans="1:22" ht="14" x14ac:dyDescent="0.15">
      <c r="A363" s="144"/>
      <c r="B363" s="144"/>
      <c r="C363" s="145"/>
      <c r="D363" s="145"/>
      <c r="E363" s="148"/>
      <c r="F363" s="155"/>
      <c r="G363" s="144"/>
      <c r="H363" s="144"/>
      <c r="I363" s="144"/>
      <c r="J363" s="145"/>
      <c r="K363" s="145"/>
      <c r="L363" s="154"/>
      <c r="M363" s="155"/>
      <c r="N363" s="144"/>
      <c r="O363" s="144"/>
      <c r="P363" s="144"/>
      <c r="Q363" s="145"/>
      <c r="R363" s="145"/>
      <c r="S363" s="154"/>
      <c r="T363" s="155"/>
      <c r="U363" s="144"/>
      <c r="V363" s="144"/>
    </row>
    <row r="364" spans="1:22" ht="14" x14ac:dyDescent="0.15">
      <c r="A364" s="144"/>
      <c r="B364" s="144"/>
      <c r="C364" s="145"/>
      <c r="D364" s="145"/>
      <c r="E364" s="148"/>
      <c r="F364" s="155"/>
      <c r="G364" s="144"/>
      <c r="H364" s="144"/>
      <c r="I364" s="144"/>
      <c r="J364" s="145"/>
      <c r="K364" s="145"/>
      <c r="L364" s="154"/>
      <c r="M364" s="155"/>
      <c r="N364" s="144"/>
      <c r="O364" s="144"/>
      <c r="P364" s="144"/>
      <c r="Q364" s="145"/>
      <c r="R364" s="145"/>
      <c r="S364" s="154"/>
      <c r="T364" s="155"/>
      <c r="U364" s="144"/>
      <c r="V364" s="144"/>
    </row>
    <row r="365" spans="1:22" ht="14" x14ac:dyDescent="0.15">
      <c r="A365" s="144"/>
      <c r="B365" s="144"/>
      <c r="C365" s="145"/>
      <c r="D365" s="145"/>
      <c r="E365" s="148"/>
      <c r="F365" s="155"/>
      <c r="G365" s="144"/>
      <c r="H365" s="144"/>
      <c r="I365" s="144"/>
      <c r="J365" s="145"/>
      <c r="K365" s="145"/>
      <c r="L365" s="154"/>
      <c r="M365" s="155"/>
      <c r="N365" s="144"/>
      <c r="O365" s="144"/>
      <c r="P365" s="144"/>
      <c r="Q365" s="145"/>
      <c r="R365" s="145"/>
      <c r="S365" s="154"/>
      <c r="T365" s="155"/>
      <c r="U365" s="144"/>
      <c r="V365" s="144"/>
    </row>
    <row r="366" spans="1:22" ht="14" x14ac:dyDescent="0.15">
      <c r="A366" s="144"/>
      <c r="B366" s="144"/>
      <c r="C366" s="145"/>
      <c r="D366" s="145"/>
      <c r="E366" s="148"/>
      <c r="F366" s="155"/>
      <c r="G366" s="144"/>
      <c r="H366" s="144"/>
      <c r="I366" s="144"/>
      <c r="J366" s="145"/>
      <c r="K366" s="145"/>
      <c r="L366" s="154"/>
      <c r="M366" s="155"/>
      <c r="N366" s="144"/>
      <c r="O366" s="144"/>
      <c r="P366" s="144"/>
      <c r="Q366" s="145"/>
      <c r="R366" s="145"/>
      <c r="S366" s="154"/>
      <c r="T366" s="155"/>
      <c r="U366" s="144"/>
      <c r="V366" s="144"/>
    </row>
    <row r="367" spans="1:22" ht="14" x14ac:dyDescent="0.15">
      <c r="A367" s="144"/>
      <c r="B367" s="144"/>
      <c r="C367" s="145"/>
      <c r="D367" s="145"/>
      <c r="E367" s="148"/>
      <c r="F367" s="155"/>
      <c r="G367" s="144"/>
      <c r="H367" s="144"/>
      <c r="I367" s="144"/>
      <c r="J367" s="145"/>
      <c r="K367" s="145"/>
      <c r="L367" s="154"/>
      <c r="M367" s="155"/>
      <c r="N367" s="144"/>
      <c r="O367" s="144"/>
      <c r="P367" s="144"/>
      <c r="Q367" s="145"/>
      <c r="R367" s="145"/>
      <c r="S367" s="154"/>
      <c r="T367" s="155"/>
      <c r="U367" s="144"/>
      <c r="V367" s="144"/>
    </row>
    <row r="368" spans="1:22" ht="14" x14ac:dyDescent="0.15">
      <c r="A368" s="144"/>
      <c r="B368" s="144"/>
      <c r="C368" s="145"/>
      <c r="D368" s="145"/>
      <c r="E368" s="148"/>
      <c r="F368" s="155"/>
      <c r="G368" s="144"/>
      <c r="H368" s="144"/>
      <c r="I368" s="144"/>
      <c r="J368" s="145"/>
      <c r="K368" s="145"/>
      <c r="L368" s="154"/>
      <c r="M368" s="155"/>
      <c r="N368" s="144"/>
      <c r="O368" s="144"/>
      <c r="P368" s="144"/>
      <c r="Q368" s="145"/>
      <c r="R368" s="145"/>
      <c r="S368" s="154"/>
      <c r="T368" s="155"/>
      <c r="U368" s="144"/>
      <c r="V368" s="144"/>
    </row>
    <row r="369" spans="1:22" ht="14" x14ac:dyDescent="0.15">
      <c r="A369" s="144"/>
      <c r="B369" s="144"/>
      <c r="C369" s="145"/>
      <c r="D369" s="145"/>
      <c r="E369" s="148"/>
      <c r="F369" s="155"/>
      <c r="G369" s="144"/>
      <c r="H369" s="144"/>
      <c r="I369" s="144"/>
      <c r="J369" s="145"/>
      <c r="K369" s="145"/>
      <c r="L369" s="154"/>
      <c r="M369" s="155"/>
      <c r="N369" s="144"/>
      <c r="O369" s="144"/>
      <c r="P369" s="144"/>
      <c r="Q369" s="145"/>
      <c r="R369" s="145"/>
      <c r="S369" s="154"/>
      <c r="T369" s="155"/>
      <c r="U369" s="144"/>
      <c r="V369" s="144"/>
    </row>
    <row r="370" spans="1:22" ht="14" x14ac:dyDescent="0.15">
      <c r="A370" s="144"/>
      <c r="B370" s="144"/>
      <c r="C370" s="145"/>
      <c r="D370" s="145"/>
      <c r="E370" s="148"/>
      <c r="F370" s="155"/>
      <c r="G370" s="144"/>
      <c r="H370" s="144"/>
      <c r="I370" s="144"/>
      <c r="J370" s="145"/>
      <c r="K370" s="145"/>
      <c r="L370" s="154"/>
      <c r="M370" s="155"/>
      <c r="N370" s="144"/>
      <c r="O370" s="144"/>
      <c r="P370" s="144"/>
      <c r="Q370" s="145"/>
      <c r="R370" s="145"/>
      <c r="S370" s="154"/>
      <c r="T370" s="155"/>
      <c r="U370" s="144"/>
      <c r="V370" s="144"/>
    </row>
    <row r="371" spans="1:22" ht="14" x14ac:dyDescent="0.15">
      <c r="A371" s="144"/>
      <c r="B371" s="144"/>
      <c r="C371" s="145"/>
      <c r="D371" s="145"/>
      <c r="E371" s="148"/>
      <c r="F371" s="155"/>
      <c r="G371" s="144"/>
      <c r="H371" s="144"/>
      <c r="I371" s="144"/>
      <c r="J371" s="145"/>
      <c r="K371" s="145"/>
      <c r="L371" s="154"/>
      <c r="M371" s="155"/>
      <c r="N371" s="144"/>
      <c r="O371" s="144"/>
      <c r="P371" s="144"/>
      <c r="Q371" s="145"/>
      <c r="R371" s="145"/>
      <c r="S371" s="154"/>
      <c r="T371" s="155"/>
      <c r="U371" s="144"/>
      <c r="V371" s="144"/>
    </row>
    <row r="372" spans="1:22" ht="14" x14ac:dyDescent="0.15">
      <c r="A372" s="144"/>
      <c r="B372" s="144"/>
      <c r="C372" s="145"/>
      <c r="D372" s="145"/>
      <c r="E372" s="148"/>
      <c r="F372" s="155"/>
      <c r="G372" s="144"/>
      <c r="H372" s="144"/>
      <c r="I372" s="144"/>
      <c r="J372" s="145"/>
      <c r="K372" s="145"/>
      <c r="L372" s="154"/>
      <c r="M372" s="155"/>
      <c r="N372" s="144"/>
      <c r="O372" s="144"/>
      <c r="P372" s="144"/>
      <c r="Q372" s="145"/>
      <c r="R372" s="145"/>
      <c r="S372" s="154"/>
      <c r="T372" s="155"/>
      <c r="U372" s="144"/>
      <c r="V372" s="144"/>
    </row>
    <row r="373" spans="1:22" ht="14" x14ac:dyDescent="0.15">
      <c r="A373" s="144"/>
      <c r="B373" s="144"/>
      <c r="C373" s="145"/>
      <c r="D373" s="145"/>
      <c r="E373" s="148"/>
      <c r="F373" s="155"/>
      <c r="G373" s="144"/>
      <c r="H373" s="144"/>
      <c r="I373" s="144"/>
      <c r="J373" s="145"/>
      <c r="K373" s="145"/>
      <c r="L373" s="154"/>
      <c r="M373" s="155"/>
      <c r="N373" s="144"/>
      <c r="O373" s="144"/>
      <c r="P373" s="144"/>
      <c r="Q373" s="145"/>
      <c r="R373" s="145"/>
      <c r="S373" s="154"/>
      <c r="T373" s="155"/>
      <c r="U373" s="144"/>
      <c r="V373" s="144"/>
    </row>
    <row r="374" spans="1:22" ht="14" x14ac:dyDescent="0.15">
      <c r="A374" s="144"/>
      <c r="B374" s="144"/>
      <c r="C374" s="145"/>
      <c r="D374" s="145"/>
      <c r="E374" s="148"/>
      <c r="F374" s="155"/>
      <c r="G374" s="144"/>
      <c r="H374" s="144"/>
      <c r="I374" s="144"/>
      <c r="J374" s="145"/>
      <c r="K374" s="145"/>
      <c r="L374" s="154"/>
      <c r="M374" s="155"/>
      <c r="N374" s="144"/>
      <c r="O374" s="144"/>
      <c r="P374" s="144"/>
      <c r="Q374" s="145"/>
      <c r="R374" s="145"/>
      <c r="S374" s="154"/>
      <c r="T374" s="155"/>
      <c r="U374" s="144"/>
      <c r="V374" s="144"/>
    </row>
    <row r="375" spans="1:22" ht="14" x14ac:dyDescent="0.15">
      <c r="A375" s="144"/>
      <c r="B375" s="144"/>
      <c r="C375" s="145"/>
      <c r="D375" s="145"/>
      <c r="E375" s="148"/>
      <c r="F375" s="155"/>
      <c r="G375" s="144"/>
      <c r="H375" s="144"/>
      <c r="I375" s="144"/>
      <c r="J375" s="145"/>
      <c r="K375" s="145"/>
      <c r="L375" s="154"/>
      <c r="M375" s="155"/>
      <c r="N375" s="144"/>
      <c r="O375" s="144"/>
      <c r="P375" s="144"/>
      <c r="Q375" s="145"/>
      <c r="R375" s="145"/>
      <c r="S375" s="154"/>
      <c r="T375" s="155"/>
      <c r="U375" s="144"/>
      <c r="V375" s="144"/>
    </row>
    <row r="376" spans="1:22" ht="14" x14ac:dyDescent="0.15">
      <c r="A376" s="144"/>
      <c r="B376" s="144"/>
      <c r="C376" s="145"/>
      <c r="D376" s="145"/>
      <c r="E376" s="148"/>
      <c r="F376" s="155"/>
      <c r="G376" s="144"/>
      <c r="H376" s="144"/>
      <c r="I376" s="144"/>
      <c r="J376" s="145"/>
      <c r="K376" s="145"/>
      <c r="L376" s="154"/>
      <c r="M376" s="155"/>
      <c r="N376" s="144"/>
      <c r="O376" s="144"/>
      <c r="P376" s="144"/>
      <c r="Q376" s="145"/>
      <c r="R376" s="145"/>
      <c r="S376" s="154"/>
      <c r="T376" s="155"/>
      <c r="U376" s="144"/>
      <c r="V376" s="144"/>
    </row>
    <row r="377" spans="1:22" ht="14" x14ac:dyDescent="0.15">
      <c r="A377" s="144"/>
      <c r="B377" s="144"/>
      <c r="C377" s="145"/>
      <c r="D377" s="145"/>
      <c r="E377" s="148"/>
      <c r="F377" s="155"/>
      <c r="G377" s="144"/>
      <c r="H377" s="144"/>
      <c r="I377" s="144"/>
      <c r="J377" s="145"/>
      <c r="K377" s="145"/>
      <c r="L377" s="154"/>
      <c r="M377" s="155"/>
      <c r="N377" s="144"/>
      <c r="O377" s="144"/>
      <c r="P377" s="144"/>
      <c r="Q377" s="145"/>
      <c r="R377" s="145"/>
      <c r="S377" s="154"/>
      <c r="T377" s="155"/>
      <c r="U377" s="144"/>
      <c r="V377" s="144"/>
    </row>
    <row r="378" spans="1:22" ht="14" x14ac:dyDescent="0.15">
      <c r="A378" s="144"/>
      <c r="B378" s="144"/>
      <c r="C378" s="145"/>
      <c r="D378" s="145"/>
      <c r="E378" s="148"/>
      <c r="F378" s="155"/>
      <c r="G378" s="144"/>
      <c r="H378" s="144"/>
      <c r="I378" s="144"/>
      <c r="J378" s="145"/>
      <c r="K378" s="145"/>
      <c r="L378" s="154"/>
      <c r="M378" s="155"/>
      <c r="N378" s="144"/>
      <c r="O378" s="144"/>
      <c r="P378" s="144"/>
      <c r="Q378" s="145"/>
      <c r="R378" s="145"/>
      <c r="S378" s="154"/>
      <c r="T378" s="155"/>
      <c r="U378" s="144"/>
      <c r="V378" s="144"/>
    </row>
    <row r="379" spans="1:22" ht="14" x14ac:dyDescent="0.15">
      <c r="A379" s="144"/>
      <c r="B379" s="144"/>
      <c r="C379" s="145"/>
      <c r="D379" s="145"/>
      <c r="E379" s="148"/>
      <c r="F379" s="155"/>
      <c r="G379" s="144"/>
      <c r="H379" s="144"/>
      <c r="I379" s="144"/>
      <c r="J379" s="145"/>
      <c r="K379" s="145"/>
      <c r="L379" s="154"/>
      <c r="M379" s="155"/>
      <c r="N379" s="144"/>
      <c r="O379" s="144"/>
      <c r="P379" s="144"/>
      <c r="Q379" s="145"/>
      <c r="R379" s="145"/>
      <c r="S379" s="154"/>
      <c r="T379" s="155"/>
      <c r="U379" s="144"/>
      <c r="V379" s="144"/>
    </row>
    <row r="380" spans="1:22" ht="14" x14ac:dyDescent="0.15">
      <c r="A380" s="144"/>
      <c r="B380" s="144"/>
      <c r="C380" s="145"/>
      <c r="D380" s="145"/>
      <c r="E380" s="148"/>
      <c r="F380" s="155"/>
      <c r="G380" s="144"/>
      <c r="H380" s="144"/>
      <c r="I380" s="144"/>
      <c r="J380" s="145"/>
      <c r="K380" s="145"/>
      <c r="L380" s="154"/>
      <c r="M380" s="155"/>
      <c r="N380" s="144"/>
      <c r="O380" s="144"/>
      <c r="P380" s="144"/>
      <c r="Q380" s="145"/>
      <c r="R380" s="145"/>
      <c r="S380" s="154"/>
      <c r="T380" s="155"/>
      <c r="U380" s="144"/>
      <c r="V380" s="144"/>
    </row>
    <row r="381" spans="1:22" ht="14" x14ac:dyDescent="0.15">
      <c r="A381" s="144"/>
      <c r="B381" s="144"/>
      <c r="C381" s="145"/>
      <c r="D381" s="145"/>
      <c r="E381" s="148"/>
      <c r="F381" s="155"/>
      <c r="G381" s="144"/>
      <c r="H381" s="144"/>
      <c r="I381" s="144"/>
      <c r="J381" s="145"/>
      <c r="K381" s="145"/>
      <c r="L381" s="154"/>
      <c r="M381" s="155"/>
      <c r="N381" s="144"/>
      <c r="O381" s="144"/>
      <c r="P381" s="144"/>
      <c r="Q381" s="145"/>
      <c r="R381" s="145"/>
      <c r="S381" s="154"/>
      <c r="T381" s="155"/>
      <c r="U381" s="144"/>
      <c r="V381" s="144"/>
    </row>
    <row r="382" spans="1:22" ht="14" x14ac:dyDescent="0.15">
      <c r="A382" s="144"/>
      <c r="B382" s="144"/>
      <c r="C382" s="145"/>
      <c r="D382" s="145"/>
      <c r="E382" s="148"/>
      <c r="F382" s="155"/>
      <c r="G382" s="144"/>
      <c r="H382" s="144"/>
      <c r="I382" s="144"/>
      <c r="J382" s="145"/>
      <c r="K382" s="145"/>
      <c r="L382" s="154"/>
      <c r="M382" s="155"/>
      <c r="N382" s="144"/>
      <c r="O382" s="144"/>
      <c r="P382" s="144"/>
      <c r="Q382" s="145"/>
      <c r="R382" s="145"/>
      <c r="S382" s="154"/>
      <c r="T382" s="155"/>
      <c r="U382" s="144"/>
      <c r="V382" s="144"/>
    </row>
    <row r="383" spans="1:22" ht="14" x14ac:dyDescent="0.15">
      <c r="A383" s="144"/>
      <c r="B383" s="144"/>
      <c r="C383" s="145"/>
      <c r="D383" s="145"/>
      <c r="E383" s="148"/>
      <c r="F383" s="155"/>
      <c r="G383" s="144"/>
      <c r="H383" s="144"/>
      <c r="I383" s="144"/>
      <c r="J383" s="145"/>
      <c r="K383" s="145"/>
      <c r="L383" s="154"/>
      <c r="M383" s="155"/>
      <c r="N383" s="144"/>
      <c r="O383" s="144"/>
      <c r="P383" s="144"/>
      <c r="Q383" s="145"/>
      <c r="R383" s="145"/>
      <c r="S383" s="154"/>
      <c r="T383" s="155"/>
      <c r="U383" s="144"/>
      <c r="V383" s="144"/>
    </row>
    <row r="384" spans="1:22" ht="14" x14ac:dyDescent="0.15">
      <c r="A384" s="144"/>
      <c r="B384" s="144"/>
      <c r="C384" s="145"/>
      <c r="D384" s="145"/>
      <c r="E384" s="148"/>
      <c r="F384" s="155"/>
      <c r="G384" s="144"/>
      <c r="H384" s="144"/>
      <c r="I384" s="144"/>
      <c r="J384" s="145"/>
      <c r="K384" s="145"/>
      <c r="L384" s="154"/>
      <c r="M384" s="155"/>
      <c r="N384" s="144"/>
      <c r="O384" s="144"/>
      <c r="P384" s="144"/>
      <c r="Q384" s="145"/>
      <c r="R384" s="145"/>
      <c r="S384" s="154"/>
      <c r="T384" s="155"/>
      <c r="U384" s="144"/>
      <c r="V384" s="144"/>
    </row>
    <row r="385" spans="1:22" ht="14" x14ac:dyDescent="0.15">
      <c r="A385" s="144"/>
      <c r="B385" s="144"/>
      <c r="C385" s="145"/>
      <c r="D385" s="145"/>
      <c r="E385" s="148"/>
      <c r="F385" s="155"/>
      <c r="G385" s="144"/>
      <c r="H385" s="144"/>
      <c r="I385" s="144"/>
      <c r="J385" s="145"/>
      <c r="K385" s="145"/>
      <c r="L385" s="154"/>
      <c r="M385" s="155"/>
      <c r="N385" s="144"/>
      <c r="O385" s="144"/>
      <c r="P385" s="144"/>
      <c r="Q385" s="145"/>
      <c r="R385" s="145"/>
      <c r="S385" s="154"/>
      <c r="T385" s="155"/>
      <c r="U385" s="144"/>
      <c r="V385" s="144"/>
    </row>
    <row r="386" spans="1:22" ht="14" x14ac:dyDescent="0.15">
      <c r="A386" s="144"/>
      <c r="B386" s="144"/>
      <c r="C386" s="145"/>
      <c r="D386" s="145"/>
      <c r="E386" s="148"/>
      <c r="F386" s="155"/>
      <c r="G386" s="144"/>
      <c r="H386" s="144"/>
      <c r="I386" s="144"/>
      <c r="J386" s="145"/>
      <c r="K386" s="145"/>
      <c r="L386" s="154"/>
      <c r="M386" s="155"/>
      <c r="N386" s="144"/>
      <c r="O386" s="144"/>
      <c r="P386" s="144"/>
      <c r="Q386" s="145"/>
      <c r="R386" s="145"/>
      <c r="S386" s="154"/>
      <c r="T386" s="155"/>
      <c r="U386" s="144"/>
      <c r="V386" s="144"/>
    </row>
    <row r="387" spans="1:22" ht="14" x14ac:dyDescent="0.15">
      <c r="A387" s="144"/>
      <c r="B387" s="144"/>
      <c r="C387" s="145"/>
      <c r="D387" s="145"/>
      <c r="E387" s="148"/>
      <c r="F387" s="155"/>
      <c r="G387" s="144"/>
      <c r="H387" s="144"/>
      <c r="I387" s="144"/>
      <c r="J387" s="145"/>
      <c r="K387" s="145"/>
      <c r="L387" s="154"/>
      <c r="M387" s="155"/>
      <c r="N387" s="144"/>
      <c r="O387" s="144"/>
      <c r="P387" s="144"/>
      <c r="Q387" s="145"/>
      <c r="R387" s="145"/>
      <c r="S387" s="154"/>
      <c r="T387" s="155"/>
      <c r="U387" s="144"/>
      <c r="V387" s="144"/>
    </row>
    <row r="388" spans="1:22" ht="14" x14ac:dyDescent="0.15">
      <c r="A388" s="144"/>
      <c r="B388" s="144"/>
      <c r="C388" s="145"/>
      <c r="D388" s="145"/>
      <c r="E388" s="148"/>
      <c r="F388" s="155"/>
      <c r="G388" s="144"/>
      <c r="H388" s="144"/>
      <c r="I388" s="144"/>
      <c r="J388" s="145"/>
      <c r="K388" s="145"/>
      <c r="L388" s="154"/>
      <c r="M388" s="155"/>
      <c r="N388" s="144"/>
      <c r="O388" s="144"/>
      <c r="P388" s="144"/>
      <c r="Q388" s="145"/>
      <c r="R388" s="145"/>
      <c r="S388" s="154"/>
      <c r="T388" s="155"/>
      <c r="U388" s="144"/>
      <c r="V388" s="144"/>
    </row>
    <row r="389" spans="1:22" ht="14" x14ac:dyDescent="0.15">
      <c r="A389" s="144"/>
      <c r="B389" s="144"/>
      <c r="C389" s="145"/>
      <c r="D389" s="145"/>
      <c r="E389" s="148"/>
      <c r="F389" s="155"/>
      <c r="G389" s="144"/>
      <c r="H389" s="144"/>
      <c r="I389" s="144"/>
      <c r="J389" s="145"/>
      <c r="K389" s="145"/>
      <c r="L389" s="154"/>
      <c r="M389" s="155"/>
      <c r="N389" s="144"/>
      <c r="O389" s="144"/>
      <c r="P389" s="144"/>
      <c r="Q389" s="145"/>
      <c r="R389" s="145"/>
      <c r="S389" s="154"/>
      <c r="T389" s="155"/>
      <c r="U389" s="144"/>
      <c r="V389" s="144"/>
    </row>
    <row r="390" spans="1:22" ht="14" x14ac:dyDescent="0.15">
      <c r="A390" s="144"/>
      <c r="B390" s="144"/>
      <c r="C390" s="145"/>
      <c r="D390" s="145"/>
      <c r="E390" s="148"/>
      <c r="F390" s="155"/>
      <c r="G390" s="144"/>
      <c r="H390" s="144"/>
      <c r="I390" s="144"/>
      <c r="J390" s="145"/>
      <c r="K390" s="145"/>
      <c r="L390" s="154"/>
      <c r="M390" s="155"/>
      <c r="N390" s="144"/>
      <c r="O390" s="144"/>
      <c r="P390" s="144"/>
      <c r="Q390" s="145"/>
      <c r="R390" s="145"/>
      <c r="S390" s="154"/>
      <c r="T390" s="155"/>
      <c r="U390" s="144"/>
      <c r="V390" s="144"/>
    </row>
    <row r="391" spans="1:22" ht="14" x14ac:dyDescent="0.15">
      <c r="A391" s="144"/>
      <c r="B391" s="144"/>
      <c r="C391" s="145"/>
      <c r="D391" s="145"/>
      <c r="E391" s="148"/>
      <c r="F391" s="155"/>
      <c r="G391" s="144"/>
      <c r="H391" s="144"/>
      <c r="I391" s="144"/>
      <c r="J391" s="145"/>
      <c r="K391" s="145"/>
      <c r="L391" s="154"/>
      <c r="M391" s="155"/>
      <c r="N391" s="144"/>
      <c r="O391" s="144"/>
      <c r="P391" s="144"/>
      <c r="Q391" s="145"/>
      <c r="R391" s="145"/>
      <c r="S391" s="154"/>
      <c r="T391" s="155"/>
      <c r="U391" s="144"/>
      <c r="V391" s="144"/>
    </row>
    <row r="392" spans="1:22" ht="14" x14ac:dyDescent="0.15">
      <c r="A392" s="144"/>
      <c r="B392" s="144"/>
      <c r="C392" s="145"/>
      <c r="D392" s="145"/>
      <c r="E392" s="148"/>
      <c r="F392" s="155"/>
      <c r="G392" s="144"/>
      <c r="H392" s="144"/>
      <c r="I392" s="144"/>
      <c r="J392" s="145"/>
      <c r="K392" s="145"/>
      <c r="L392" s="154"/>
      <c r="M392" s="155"/>
      <c r="N392" s="144"/>
      <c r="O392" s="144"/>
      <c r="P392" s="144"/>
      <c r="Q392" s="145"/>
      <c r="R392" s="145"/>
      <c r="S392" s="154"/>
      <c r="T392" s="155"/>
      <c r="U392" s="144"/>
      <c r="V392" s="144"/>
    </row>
    <row r="393" spans="1:22" ht="14" x14ac:dyDescent="0.15">
      <c r="A393" s="144"/>
      <c r="B393" s="144"/>
      <c r="C393" s="145"/>
      <c r="D393" s="145"/>
      <c r="E393" s="148"/>
      <c r="F393" s="155"/>
      <c r="G393" s="144"/>
      <c r="H393" s="144"/>
      <c r="I393" s="144"/>
      <c r="J393" s="145"/>
      <c r="K393" s="145"/>
      <c r="L393" s="154"/>
      <c r="M393" s="155"/>
      <c r="N393" s="144"/>
      <c r="O393" s="144"/>
      <c r="P393" s="144"/>
      <c r="Q393" s="145"/>
      <c r="R393" s="145"/>
      <c r="S393" s="154"/>
      <c r="T393" s="155"/>
      <c r="U393" s="144"/>
      <c r="V393" s="144"/>
    </row>
    <row r="394" spans="1:22" ht="14" x14ac:dyDescent="0.15">
      <c r="A394" s="144"/>
      <c r="B394" s="144"/>
      <c r="C394" s="145"/>
      <c r="D394" s="145"/>
      <c r="E394" s="148"/>
      <c r="F394" s="155"/>
      <c r="G394" s="144"/>
      <c r="H394" s="144"/>
      <c r="I394" s="144"/>
      <c r="J394" s="145"/>
      <c r="K394" s="145"/>
      <c r="L394" s="154"/>
      <c r="M394" s="155"/>
      <c r="N394" s="144"/>
      <c r="O394" s="144"/>
      <c r="P394" s="144"/>
      <c r="Q394" s="145"/>
      <c r="R394" s="145"/>
      <c r="S394" s="154"/>
      <c r="T394" s="155"/>
      <c r="U394" s="144"/>
      <c r="V394" s="144"/>
    </row>
    <row r="395" spans="1:22" ht="14" x14ac:dyDescent="0.15">
      <c r="A395" s="144"/>
      <c r="B395" s="144"/>
      <c r="C395" s="145"/>
      <c r="D395" s="145"/>
      <c r="E395" s="148"/>
      <c r="F395" s="155"/>
      <c r="G395" s="144"/>
      <c r="H395" s="144"/>
      <c r="I395" s="144"/>
      <c r="J395" s="145"/>
      <c r="K395" s="145"/>
      <c r="L395" s="154"/>
      <c r="M395" s="155"/>
      <c r="N395" s="144"/>
      <c r="O395" s="144"/>
      <c r="P395" s="144"/>
      <c r="Q395" s="145"/>
      <c r="R395" s="145"/>
      <c r="S395" s="154"/>
      <c r="T395" s="155"/>
      <c r="U395" s="144"/>
      <c r="V395" s="144"/>
    </row>
    <row r="396" spans="1:22" ht="14" x14ac:dyDescent="0.15">
      <c r="A396" s="144"/>
      <c r="B396" s="144"/>
      <c r="C396" s="145"/>
      <c r="D396" s="145"/>
      <c r="E396" s="148"/>
      <c r="F396" s="155"/>
      <c r="G396" s="144"/>
      <c r="H396" s="144"/>
      <c r="I396" s="144"/>
      <c r="J396" s="145"/>
      <c r="K396" s="145"/>
      <c r="L396" s="154"/>
      <c r="M396" s="155"/>
      <c r="N396" s="144"/>
      <c r="O396" s="144"/>
      <c r="P396" s="144"/>
      <c r="Q396" s="145"/>
      <c r="R396" s="145"/>
      <c r="S396" s="154"/>
      <c r="T396" s="155"/>
      <c r="U396" s="144"/>
      <c r="V396" s="144"/>
    </row>
    <row r="397" spans="1:22" ht="14" x14ac:dyDescent="0.15">
      <c r="A397" s="144"/>
      <c r="B397" s="144"/>
      <c r="C397" s="145"/>
      <c r="D397" s="145"/>
      <c r="E397" s="148"/>
      <c r="F397" s="155"/>
      <c r="G397" s="144"/>
      <c r="H397" s="144"/>
      <c r="I397" s="144"/>
      <c r="J397" s="145"/>
      <c r="K397" s="145"/>
      <c r="L397" s="154"/>
      <c r="M397" s="155"/>
      <c r="N397" s="144"/>
      <c r="O397" s="144"/>
      <c r="P397" s="144"/>
      <c r="Q397" s="145"/>
      <c r="R397" s="145"/>
      <c r="S397" s="154"/>
      <c r="T397" s="155"/>
      <c r="U397" s="144"/>
      <c r="V397" s="144"/>
    </row>
    <row r="398" spans="1:22" ht="14" x14ac:dyDescent="0.15">
      <c r="A398" s="144"/>
      <c r="B398" s="144"/>
      <c r="C398" s="145"/>
      <c r="D398" s="145"/>
      <c r="E398" s="148"/>
      <c r="F398" s="155"/>
      <c r="G398" s="144"/>
      <c r="H398" s="144"/>
      <c r="I398" s="144"/>
      <c r="J398" s="145"/>
      <c r="K398" s="145"/>
      <c r="L398" s="154"/>
      <c r="M398" s="155"/>
      <c r="N398" s="144"/>
      <c r="O398" s="144"/>
      <c r="P398" s="144"/>
      <c r="Q398" s="145"/>
      <c r="R398" s="145"/>
      <c r="S398" s="154"/>
      <c r="T398" s="155"/>
      <c r="U398" s="144"/>
      <c r="V398" s="144"/>
    </row>
    <row r="399" spans="1:22" ht="14" x14ac:dyDescent="0.15">
      <c r="A399" s="144"/>
      <c r="B399" s="144"/>
      <c r="C399" s="145"/>
      <c r="D399" s="145"/>
      <c r="E399" s="148"/>
      <c r="F399" s="155"/>
      <c r="G399" s="144"/>
      <c r="H399" s="144"/>
      <c r="I399" s="144"/>
      <c r="J399" s="145"/>
      <c r="K399" s="145"/>
      <c r="L399" s="154"/>
      <c r="M399" s="155"/>
      <c r="N399" s="144"/>
      <c r="O399" s="144"/>
      <c r="P399" s="144"/>
      <c r="Q399" s="145"/>
      <c r="R399" s="145"/>
      <c r="S399" s="154"/>
      <c r="T399" s="155"/>
      <c r="U399" s="144"/>
      <c r="V399" s="144"/>
    </row>
    <row r="400" spans="1:22" ht="14" x14ac:dyDescent="0.15">
      <c r="A400" s="144"/>
      <c r="B400" s="144"/>
      <c r="C400" s="145"/>
      <c r="D400" s="145"/>
      <c r="E400" s="148"/>
      <c r="F400" s="155"/>
      <c r="G400" s="144"/>
      <c r="H400" s="144"/>
      <c r="I400" s="144"/>
      <c r="J400" s="145"/>
      <c r="K400" s="145"/>
      <c r="L400" s="154"/>
      <c r="M400" s="155"/>
      <c r="N400" s="144"/>
      <c r="O400" s="144"/>
      <c r="P400" s="144"/>
      <c r="Q400" s="145"/>
      <c r="R400" s="145"/>
      <c r="S400" s="154"/>
      <c r="T400" s="155"/>
      <c r="U400" s="144"/>
      <c r="V400" s="144"/>
    </row>
    <row r="401" spans="1:22" ht="14" x14ac:dyDescent="0.15">
      <c r="A401" s="144"/>
      <c r="B401" s="144"/>
      <c r="C401" s="145"/>
      <c r="D401" s="145"/>
      <c r="E401" s="148"/>
      <c r="F401" s="155"/>
      <c r="G401" s="144"/>
      <c r="H401" s="144"/>
      <c r="I401" s="144"/>
      <c r="J401" s="145"/>
      <c r="K401" s="145"/>
      <c r="L401" s="154"/>
      <c r="M401" s="155"/>
      <c r="N401" s="144"/>
      <c r="O401" s="144"/>
      <c r="P401" s="144"/>
      <c r="Q401" s="145"/>
      <c r="R401" s="145"/>
      <c r="S401" s="154"/>
      <c r="T401" s="155"/>
      <c r="U401" s="144"/>
      <c r="V401" s="144"/>
    </row>
    <row r="402" spans="1:22" ht="14" x14ac:dyDescent="0.15">
      <c r="A402" s="144"/>
      <c r="B402" s="144"/>
      <c r="C402" s="145"/>
      <c r="D402" s="145"/>
      <c r="E402" s="148"/>
      <c r="F402" s="155"/>
      <c r="G402" s="144"/>
      <c r="H402" s="144"/>
      <c r="I402" s="144"/>
      <c r="J402" s="145"/>
      <c r="K402" s="145"/>
      <c r="L402" s="154"/>
      <c r="M402" s="155"/>
      <c r="N402" s="144"/>
      <c r="O402" s="144"/>
      <c r="P402" s="144"/>
      <c r="Q402" s="145"/>
      <c r="R402" s="145"/>
      <c r="S402" s="154"/>
      <c r="T402" s="155"/>
      <c r="U402" s="144"/>
      <c r="V402" s="144"/>
    </row>
    <row r="403" spans="1:22" ht="14" x14ac:dyDescent="0.15">
      <c r="A403" s="144"/>
      <c r="B403" s="144"/>
      <c r="C403" s="145"/>
      <c r="D403" s="145"/>
      <c r="E403" s="148"/>
      <c r="F403" s="155"/>
      <c r="G403" s="144"/>
      <c r="H403" s="144"/>
      <c r="I403" s="144"/>
      <c r="J403" s="145"/>
      <c r="K403" s="145"/>
      <c r="L403" s="154"/>
      <c r="M403" s="155"/>
      <c r="N403" s="144"/>
      <c r="O403" s="144"/>
      <c r="P403" s="144"/>
      <c r="Q403" s="145"/>
      <c r="R403" s="145"/>
      <c r="S403" s="154"/>
      <c r="T403" s="155"/>
      <c r="U403" s="144"/>
      <c r="V403" s="144"/>
    </row>
    <row r="404" spans="1:22" ht="14" x14ac:dyDescent="0.15">
      <c r="A404" s="144"/>
      <c r="B404" s="144"/>
      <c r="C404" s="145"/>
      <c r="D404" s="145"/>
      <c r="E404" s="148"/>
      <c r="F404" s="155"/>
      <c r="G404" s="144"/>
      <c r="H404" s="144"/>
      <c r="I404" s="144"/>
      <c r="J404" s="145"/>
      <c r="K404" s="145"/>
      <c r="L404" s="154"/>
      <c r="M404" s="155"/>
      <c r="N404" s="144"/>
      <c r="O404" s="144"/>
      <c r="P404" s="144"/>
      <c r="Q404" s="145"/>
      <c r="R404" s="145"/>
      <c r="S404" s="154"/>
      <c r="T404" s="155"/>
      <c r="U404" s="144"/>
      <c r="V404" s="144"/>
    </row>
    <row r="405" spans="1:22" ht="14" x14ac:dyDescent="0.15">
      <c r="A405" s="144"/>
      <c r="B405" s="144"/>
      <c r="C405" s="145"/>
      <c r="D405" s="145"/>
      <c r="E405" s="148"/>
      <c r="F405" s="155"/>
      <c r="G405" s="144"/>
      <c r="H405" s="144"/>
      <c r="I405" s="144"/>
      <c r="J405" s="145"/>
      <c r="K405" s="145"/>
      <c r="L405" s="154"/>
      <c r="M405" s="155"/>
      <c r="N405" s="144"/>
      <c r="O405" s="144"/>
      <c r="P405" s="144"/>
      <c r="Q405" s="145"/>
      <c r="R405" s="145"/>
      <c r="S405" s="154"/>
      <c r="T405" s="155"/>
      <c r="U405" s="144"/>
      <c r="V405" s="144"/>
    </row>
    <row r="406" spans="1:22" ht="14" x14ac:dyDescent="0.15">
      <c r="A406" s="144"/>
      <c r="B406" s="144"/>
      <c r="C406" s="145"/>
      <c r="D406" s="145"/>
      <c r="E406" s="148"/>
      <c r="F406" s="155"/>
      <c r="G406" s="144"/>
      <c r="H406" s="144"/>
      <c r="I406" s="144"/>
      <c r="J406" s="145"/>
      <c r="K406" s="145"/>
      <c r="L406" s="154"/>
      <c r="M406" s="155"/>
      <c r="N406" s="144"/>
      <c r="O406" s="144"/>
      <c r="P406" s="144"/>
      <c r="Q406" s="145"/>
      <c r="R406" s="145"/>
      <c r="S406" s="154"/>
      <c r="T406" s="155"/>
      <c r="U406" s="144"/>
      <c r="V406" s="144"/>
    </row>
    <row r="407" spans="1:22" ht="14" x14ac:dyDescent="0.15">
      <c r="A407" s="144"/>
      <c r="B407" s="144"/>
      <c r="C407" s="145"/>
      <c r="D407" s="145"/>
      <c r="E407" s="148"/>
      <c r="F407" s="155"/>
      <c r="G407" s="144"/>
      <c r="H407" s="144"/>
      <c r="I407" s="144"/>
      <c r="J407" s="145"/>
      <c r="K407" s="145"/>
      <c r="L407" s="154"/>
      <c r="M407" s="155"/>
      <c r="N407" s="144"/>
      <c r="O407" s="144"/>
      <c r="P407" s="144"/>
      <c r="Q407" s="145"/>
      <c r="R407" s="145"/>
      <c r="S407" s="154"/>
      <c r="T407" s="155"/>
      <c r="U407" s="144"/>
      <c r="V407" s="144"/>
    </row>
    <row r="408" spans="1:22" ht="14" x14ac:dyDescent="0.15">
      <c r="A408" s="144"/>
      <c r="B408" s="144"/>
      <c r="C408" s="145"/>
      <c r="D408" s="145"/>
      <c r="E408" s="148"/>
      <c r="F408" s="155"/>
      <c r="G408" s="144"/>
      <c r="H408" s="144"/>
      <c r="I408" s="144"/>
      <c r="J408" s="145"/>
      <c r="K408" s="145"/>
      <c r="L408" s="154"/>
      <c r="M408" s="155"/>
      <c r="N408" s="144"/>
      <c r="O408" s="144"/>
      <c r="P408" s="144"/>
      <c r="Q408" s="145"/>
      <c r="R408" s="145"/>
      <c r="S408" s="154"/>
      <c r="T408" s="155"/>
      <c r="U408" s="144"/>
      <c r="V408" s="144"/>
    </row>
    <row r="409" spans="1:22" ht="14" x14ac:dyDescent="0.15">
      <c r="A409" s="144"/>
      <c r="B409" s="144"/>
      <c r="C409" s="145"/>
      <c r="D409" s="145"/>
      <c r="E409" s="148"/>
      <c r="F409" s="155"/>
      <c r="G409" s="144"/>
      <c r="H409" s="144"/>
      <c r="I409" s="144"/>
      <c r="J409" s="145"/>
      <c r="K409" s="145"/>
      <c r="L409" s="154"/>
      <c r="M409" s="155"/>
      <c r="N409" s="144"/>
      <c r="O409" s="144"/>
      <c r="P409" s="144"/>
      <c r="Q409" s="145"/>
      <c r="R409" s="145"/>
      <c r="S409" s="154"/>
      <c r="T409" s="155"/>
      <c r="U409" s="144"/>
      <c r="V409" s="144"/>
    </row>
    <row r="410" spans="1:22" ht="14" x14ac:dyDescent="0.15">
      <c r="A410" s="144"/>
      <c r="B410" s="144"/>
      <c r="C410" s="145"/>
      <c r="D410" s="145"/>
      <c r="E410" s="148"/>
      <c r="F410" s="155"/>
      <c r="G410" s="144"/>
      <c r="H410" s="144"/>
      <c r="I410" s="144"/>
      <c r="J410" s="145"/>
      <c r="K410" s="145"/>
      <c r="L410" s="154"/>
      <c r="M410" s="155"/>
      <c r="N410" s="144"/>
      <c r="O410" s="144"/>
      <c r="P410" s="144"/>
      <c r="Q410" s="145"/>
      <c r="R410" s="145"/>
      <c r="S410" s="154"/>
      <c r="T410" s="155"/>
      <c r="U410" s="144"/>
      <c r="V410" s="144"/>
    </row>
    <row r="411" spans="1:22" ht="14" x14ac:dyDescent="0.15">
      <c r="A411" s="144"/>
      <c r="B411" s="144"/>
      <c r="C411" s="145"/>
      <c r="D411" s="145"/>
      <c r="E411" s="148"/>
      <c r="F411" s="155"/>
      <c r="G411" s="144"/>
      <c r="H411" s="144"/>
      <c r="I411" s="144"/>
      <c r="J411" s="145"/>
      <c r="K411" s="145"/>
      <c r="L411" s="154"/>
      <c r="M411" s="155"/>
      <c r="N411" s="144"/>
      <c r="O411" s="144"/>
      <c r="P411" s="144"/>
      <c r="Q411" s="145"/>
      <c r="R411" s="145"/>
      <c r="S411" s="154"/>
      <c r="T411" s="155"/>
      <c r="U411" s="144"/>
      <c r="V411" s="144"/>
    </row>
    <row r="412" spans="1:22" ht="14" x14ac:dyDescent="0.15">
      <c r="A412" s="144"/>
      <c r="B412" s="144"/>
      <c r="C412" s="145"/>
      <c r="D412" s="145"/>
      <c r="E412" s="148"/>
      <c r="F412" s="155"/>
      <c r="G412" s="144"/>
      <c r="H412" s="144"/>
      <c r="I412" s="144"/>
      <c r="J412" s="145"/>
      <c r="K412" s="145"/>
      <c r="L412" s="154"/>
      <c r="M412" s="155"/>
      <c r="N412" s="144"/>
      <c r="O412" s="144"/>
      <c r="P412" s="144"/>
      <c r="Q412" s="145"/>
      <c r="R412" s="145"/>
      <c r="S412" s="154"/>
      <c r="T412" s="155"/>
      <c r="U412" s="144"/>
      <c r="V412" s="144"/>
    </row>
    <row r="413" spans="1:22" ht="14" x14ac:dyDescent="0.15">
      <c r="A413" s="144"/>
      <c r="B413" s="144"/>
      <c r="C413" s="145"/>
      <c r="D413" s="145"/>
      <c r="E413" s="148"/>
      <c r="F413" s="155"/>
      <c r="G413" s="144"/>
      <c r="H413" s="144"/>
      <c r="I413" s="144"/>
      <c r="J413" s="145"/>
      <c r="K413" s="145"/>
      <c r="L413" s="154"/>
      <c r="M413" s="155"/>
      <c r="N413" s="144"/>
      <c r="O413" s="144"/>
      <c r="P413" s="144"/>
      <c r="Q413" s="145"/>
      <c r="R413" s="145"/>
      <c r="S413" s="154"/>
      <c r="T413" s="155"/>
      <c r="U413" s="144"/>
      <c r="V413" s="144"/>
    </row>
    <row r="414" spans="1:22" ht="14" x14ac:dyDescent="0.15">
      <c r="A414" s="144"/>
      <c r="B414" s="144"/>
      <c r="C414" s="145"/>
      <c r="D414" s="145"/>
      <c r="E414" s="148"/>
      <c r="F414" s="155"/>
      <c r="G414" s="144"/>
      <c r="H414" s="144"/>
      <c r="I414" s="144"/>
      <c r="J414" s="145"/>
      <c r="K414" s="145"/>
      <c r="L414" s="154"/>
      <c r="M414" s="155"/>
      <c r="N414" s="144"/>
      <c r="O414" s="144"/>
      <c r="P414" s="144"/>
      <c r="Q414" s="145"/>
      <c r="R414" s="145"/>
      <c r="S414" s="154"/>
      <c r="T414" s="155"/>
      <c r="U414" s="144"/>
      <c r="V414" s="144"/>
    </row>
    <row r="415" spans="1:22" ht="14" x14ac:dyDescent="0.15">
      <c r="A415" s="144"/>
      <c r="B415" s="144"/>
      <c r="C415" s="145"/>
      <c r="D415" s="145"/>
      <c r="E415" s="148"/>
      <c r="F415" s="155"/>
      <c r="G415" s="144"/>
      <c r="H415" s="144"/>
      <c r="I415" s="144"/>
      <c r="J415" s="145"/>
      <c r="K415" s="145"/>
      <c r="L415" s="154"/>
      <c r="M415" s="155"/>
      <c r="N415" s="144"/>
      <c r="O415" s="144"/>
      <c r="P415" s="144"/>
      <c r="Q415" s="145"/>
      <c r="R415" s="145"/>
      <c r="S415" s="154"/>
      <c r="T415" s="155"/>
      <c r="U415" s="144"/>
      <c r="V415" s="144"/>
    </row>
    <row r="416" spans="1:22" ht="14" x14ac:dyDescent="0.15">
      <c r="A416" s="144"/>
      <c r="B416" s="144"/>
      <c r="C416" s="145"/>
      <c r="D416" s="145"/>
      <c r="E416" s="148"/>
      <c r="F416" s="155"/>
      <c r="G416" s="144"/>
      <c r="H416" s="144"/>
      <c r="I416" s="144"/>
      <c r="J416" s="145"/>
      <c r="K416" s="145"/>
      <c r="L416" s="154"/>
      <c r="M416" s="155"/>
      <c r="N416" s="144"/>
      <c r="O416" s="144"/>
      <c r="P416" s="144"/>
      <c r="Q416" s="145"/>
      <c r="R416" s="145"/>
      <c r="S416" s="154"/>
      <c r="T416" s="155"/>
      <c r="U416" s="144"/>
      <c r="V416" s="144"/>
    </row>
    <row r="417" spans="1:22" ht="14" x14ac:dyDescent="0.15">
      <c r="A417" s="144"/>
      <c r="B417" s="144"/>
      <c r="C417" s="145"/>
      <c r="D417" s="145"/>
      <c r="E417" s="148"/>
      <c r="F417" s="155"/>
      <c r="G417" s="144"/>
      <c r="H417" s="144"/>
      <c r="I417" s="144"/>
      <c r="J417" s="145"/>
      <c r="K417" s="145"/>
      <c r="L417" s="154"/>
      <c r="M417" s="155"/>
      <c r="N417" s="144"/>
      <c r="O417" s="144"/>
      <c r="P417" s="144"/>
      <c r="Q417" s="145"/>
      <c r="R417" s="145"/>
      <c r="S417" s="154"/>
      <c r="T417" s="155"/>
      <c r="U417" s="144"/>
      <c r="V417" s="144"/>
    </row>
    <row r="418" spans="1:22" ht="14" x14ac:dyDescent="0.15">
      <c r="A418" s="144"/>
      <c r="B418" s="144"/>
      <c r="C418" s="145"/>
      <c r="D418" s="145"/>
      <c r="E418" s="148"/>
      <c r="F418" s="155"/>
      <c r="G418" s="144"/>
      <c r="H418" s="144"/>
      <c r="I418" s="144"/>
      <c r="J418" s="145"/>
      <c r="K418" s="145"/>
      <c r="L418" s="154"/>
      <c r="M418" s="155"/>
      <c r="N418" s="144"/>
      <c r="O418" s="144"/>
      <c r="P418" s="144"/>
      <c r="Q418" s="145"/>
      <c r="R418" s="145"/>
      <c r="S418" s="154"/>
      <c r="T418" s="155"/>
      <c r="U418" s="144"/>
      <c r="V418" s="144"/>
    </row>
    <row r="419" spans="1:22" ht="14" x14ac:dyDescent="0.15">
      <c r="A419" s="144"/>
      <c r="B419" s="144"/>
      <c r="C419" s="145"/>
      <c r="D419" s="145"/>
      <c r="E419" s="148"/>
      <c r="F419" s="155"/>
      <c r="G419" s="144"/>
      <c r="H419" s="144"/>
      <c r="I419" s="144"/>
      <c r="J419" s="145"/>
      <c r="K419" s="145"/>
      <c r="L419" s="154"/>
      <c r="M419" s="155"/>
      <c r="N419" s="144"/>
      <c r="O419" s="144"/>
      <c r="P419" s="144"/>
      <c r="Q419" s="145"/>
      <c r="R419" s="145"/>
      <c r="S419" s="154"/>
      <c r="T419" s="155"/>
      <c r="U419" s="144"/>
      <c r="V419" s="144"/>
    </row>
    <row r="420" spans="1:22" ht="14" x14ac:dyDescent="0.15">
      <c r="A420" s="144"/>
      <c r="B420" s="144"/>
      <c r="C420" s="145"/>
      <c r="D420" s="145"/>
      <c r="E420" s="148"/>
      <c r="F420" s="155"/>
      <c r="G420" s="144"/>
      <c r="H420" s="144"/>
      <c r="I420" s="144"/>
      <c r="J420" s="145"/>
      <c r="K420" s="145"/>
      <c r="L420" s="154"/>
      <c r="M420" s="155"/>
      <c r="N420" s="144"/>
      <c r="O420" s="144"/>
      <c r="P420" s="144"/>
      <c r="Q420" s="145"/>
      <c r="R420" s="145"/>
      <c r="S420" s="154"/>
      <c r="T420" s="155"/>
      <c r="U420" s="144"/>
      <c r="V420" s="144"/>
    </row>
    <row r="421" spans="1:22" ht="14" x14ac:dyDescent="0.15">
      <c r="A421" s="144"/>
      <c r="B421" s="144"/>
      <c r="C421" s="145"/>
      <c r="D421" s="145"/>
      <c r="E421" s="148"/>
      <c r="F421" s="155"/>
      <c r="G421" s="144"/>
      <c r="H421" s="144"/>
      <c r="I421" s="144"/>
      <c r="J421" s="145"/>
      <c r="K421" s="145"/>
      <c r="L421" s="154"/>
      <c r="M421" s="155"/>
      <c r="N421" s="144"/>
      <c r="O421" s="144"/>
      <c r="P421" s="144"/>
      <c r="Q421" s="145"/>
      <c r="R421" s="145"/>
      <c r="S421" s="154"/>
      <c r="T421" s="155"/>
      <c r="U421" s="144"/>
      <c r="V421" s="144"/>
    </row>
    <row r="422" spans="1:22" ht="14" x14ac:dyDescent="0.15">
      <c r="A422" s="144"/>
      <c r="B422" s="144"/>
      <c r="C422" s="145"/>
      <c r="D422" s="145"/>
      <c r="E422" s="148"/>
      <c r="F422" s="155"/>
      <c r="G422" s="144"/>
      <c r="H422" s="144"/>
      <c r="I422" s="144"/>
      <c r="J422" s="145"/>
      <c r="K422" s="145"/>
      <c r="L422" s="154"/>
      <c r="M422" s="155"/>
      <c r="N422" s="144"/>
      <c r="O422" s="144"/>
      <c r="P422" s="144"/>
      <c r="Q422" s="145"/>
      <c r="R422" s="145"/>
      <c r="S422" s="154"/>
      <c r="T422" s="155"/>
      <c r="U422" s="144"/>
      <c r="V422" s="144"/>
    </row>
    <row r="423" spans="1:22" ht="14" x14ac:dyDescent="0.15">
      <c r="A423" s="144"/>
      <c r="B423" s="144"/>
      <c r="C423" s="145"/>
      <c r="D423" s="145"/>
      <c r="E423" s="148"/>
      <c r="F423" s="155"/>
      <c r="G423" s="144"/>
      <c r="H423" s="144"/>
      <c r="I423" s="144"/>
      <c r="J423" s="145"/>
      <c r="K423" s="145"/>
      <c r="L423" s="154"/>
      <c r="M423" s="155"/>
      <c r="N423" s="144"/>
      <c r="O423" s="144"/>
      <c r="P423" s="144"/>
      <c r="Q423" s="145"/>
      <c r="R423" s="145"/>
      <c r="S423" s="154"/>
      <c r="T423" s="155"/>
      <c r="U423" s="144"/>
      <c r="V423" s="144"/>
    </row>
    <row r="424" spans="1:22" ht="14" x14ac:dyDescent="0.15">
      <c r="A424" s="144"/>
      <c r="B424" s="144"/>
      <c r="C424" s="145"/>
      <c r="D424" s="145"/>
      <c r="E424" s="148"/>
      <c r="F424" s="155"/>
      <c r="G424" s="144"/>
      <c r="H424" s="144"/>
      <c r="I424" s="144"/>
      <c r="J424" s="145"/>
      <c r="K424" s="145"/>
      <c r="L424" s="154"/>
      <c r="M424" s="155"/>
      <c r="N424" s="144"/>
      <c r="O424" s="144"/>
      <c r="P424" s="144"/>
      <c r="Q424" s="145"/>
      <c r="R424" s="145"/>
      <c r="S424" s="154"/>
      <c r="T424" s="155"/>
      <c r="U424" s="144"/>
      <c r="V424" s="144"/>
    </row>
    <row r="425" spans="1:22" ht="14" x14ac:dyDescent="0.15">
      <c r="A425" s="144"/>
      <c r="B425" s="144"/>
      <c r="C425" s="145"/>
      <c r="D425" s="145"/>
      <c r="E425" s="148"/>
      <c r="F425" s="155"/>
      <c r="G425" s="144"/>
      <c r="H425" s="144"/>
      <c r="I425" s="144"/>
      <c r="J425" s="145"/>
      <c r="K425" s="145"/>
      <c r="L425" s="154"/>
      <c r="M425" s="155"/>
      <c r="N425" s="144"/>
      <c r="O425" s="144"/>
      <c r="P425" s="144"/>
      <c r="Q425" s="145"/>
      <c r="R425" s="145"/>
      <c r="S425" s="154"/>
      <c r="T425" s="155"/>
      <c r="U425" s="144"/>
      <c r="V425" s="144"/>
    </row>
    <row r="426" spans="1:22" ht="14" x14ac:dyDescent="0.15">
      <c r="A426" s="144"/>
      <c r="B426" s="144"/>
      <c r="C426" s="145"/>
      <c r="D426" s="145"/>
      <c r="E426" s="148"/>
      <c r="F426" s="155"/>
      <c r="G426" s="144"/>
      <c r="H426" s="144"/>
      <c r="I426" s="144"/>
      <c r="J426" s="145"/>
      <c r="K426" s="145"/>
      <c r="L426" s="154"/>
      <c r="M426" s="155"/>
      <c r="N426" s="144"/>
      <c r="O426" s="144"/>
      <c r="P426" s="144"/>
      <c r="Q426" s="145"/>
      <c r="R426" s="145"/>
      <c r="S426" s="154"/>
      <c r="T426" s="155"/>
      <c r="U426" s="144"/>
      <c r="V426" s="144"/>
    </row>
    <row r="427" spans="1:22" ht="14" x14ac:dyDescent="0.15">
      <c r="A427" s="144"/>
      <c r="B427" s="144"/>
      <c r="C427" s="145"/>
      <c r="D427" s="145"/>
      <c r="E427" s="148"/>
      <c r="F427" s="155"/>
      <c r="G427" s="144"/>
      <c r="H427" s="144"/>
      <c r="I427" s="144"/>
      <c r="J427" s="145"/>
      <c r="K427" s="145"/>
      <c r="L427" s="154"/>
      <c r="M427" s="155"/>
      <c r="N427" s="144"/>
      <c r="O427" s="144"/>
      <c r="P427" s="144"/>
      <c r="Q427" s="145"/>
      <c r="R427" s="145"/>
      <c r="S427" s="154"/>
      <c r="T427" s="155"/>
      <c r="U427" s="144"/>
      <c r="V427" s="144"/>
    </row>
    <row r="428" spans="1:22" ht="14" x14ac:dyDescent="0.15">
      <c r="A428" s="144"/>
      <c r="B428" s="144"/>
      <c r="C428" s="145"/>
      <c r="D428" s="145"/>
      <c r="E428" s="148"/>
      <c r="F428" s="155"/>
      <c r="G428" s="144"/>
      <c r="H428" s="144"/>
      <c r="I428" s="144"/>
      <c r="J428" s="145"/>
      <c r="K428" s="145"/>
      <c r="L428" s="154"/>
      <c r="M428" s="155"/>
      <c r="N428" s="144"/>
      <c r="O428" s="144"/>
      <c r="P428" s="144"/>
      <c r="Q428" s="145"/>
      <c r="R428" s="145"/>
      <c r="S428" s="154"/>
      <c r="T428" s="155"/>
      <c r="U428" s="144"/>
      <c r="V428" s="144"/>
    </row>
    <row r="429" spans="1:22" ht="14" x14ac:dyDescent="0.15">
      <c r="A429" s="144"/>
      <c r="B429" s="144"/>
      <c r="C429" s="145"/>
      <c r="D429" s="145"/>
      <c r="E429" s="148"/>
      <c r="F429" s="155"/>
      <c r="G429" s="144"/>
      <c r="H429" s="144"/>
      <c r="I429" s="144"/>
      <c r="J429" s="145"/>
      <c r="K429" s="145"/>
      <c r="L429" s="154"/>
      <c r="M429" s="155"/>
      <c r="N429" s="144"/>
      <c r="O429" s="144"/>
      <c r="P429" s="144"/>
      <c r="Q429" s="145"/>
      <c r="R429" s="145"/>
      <c r="S429" s="154"/>
      <c r="T429" s="155"/>
      <c r="U429" s="144"/>
      <c r="V429" s="144"/>
    </row>
    <row r="430" spans="1:22" ht="14" x14ac:dyDescent="0.15">
      <c r="A430" s="144"/>
      <c r="B430" s="144"/>
      <c r="C430" s="145"/>
      <c r="D430" s="145"/>
      <c r="E430" s="148"/>
      <c r="F430" s="155"/>
      <c r="G430" s="144"/>
      <c r="H430" s="144"/>
      <c r="I430" s="144"/>
      <c r="J430" s="145"/>
      <c r="K430" s="145"/>
      <c r="L430" s="154"/>
      <c r="M430" s="155"/>
      <c r="N430" s="144"/>
      <c r="O430" s="144"/>
      <c r="P430" s="144"/>
      <c r="Q430" s="145"/>
      <c r="R430" s="145"/>
      <c r="S430" s="154"/>
      <c r="T430" s="155"/>
      <c r="U430" s="144"/>
      <c r="V430" s="144"/>
    </row>
    <row r="431" spans="1:22" ht="14" x14ac:dyDescent="0.15">
      <c r="A431" s="144"/>
      <c r="B431" s="144"/>
      <c r="C431" s="145"/>
      <c r="D431" s="145"/>
      <c r="E431" s="148"/>
      <c r="F431" s="155"/>
      <c r="G431" s="144"/>
      <c r="H431" s="144"/>
      <c r="I431" s="144"/>
      <c r="J431" s="145"/>
      <c r="K431" s="145"/>
      <c r="L431" s="154"/>
      <c r="M431" s="155"/>
      <c r="N431" s="144"/>
      <c r="O431" s="144"/>
      <c r="P431" s="144"/>
      <c r="Q431" s="145"/>
      <c r="R431" s="145"/>
      <c r="S431" s="154"/>
      <c r="T431" s="155"/>
      <c r="U431" s="144"/>
      <c r="V431" s="144"/>
    </row>
    <row r="432" spans="1:22" ht="14" x14ac:dyDescent="0.15">
      <c r="A432" s="144"/>
      <c r="B432" s="144"/>
      <c r="C432" s="145"/>
      <c r="D432" s="145"/>
      <c r="E432" s="148"/>
      <c r="F432" s="155"/>
      <c r="G432" s="144"/>
      <c r="H432" s="144"/>
      <c r="I432" s="144"/>
      <c r="J432" s="145"/>
      <c r="K432" s="145"/>
      <c r="L432" s="154"/>
      <c r="M432" s="155"/>
      <c r="N432" s="144"/>
      <c r="O432" s="144"/>
      <c r="P432" s="144"/>
      <c r="Q432" s="145"/>
      <c r="R432" s="145"/>
      <c r="S432" s="154"/>
      <c r="T432" s="155"/>
      <c r="U432" s="144"/>
      <c r="V432" s="144"/>
    </row>
    <row r="433" spans="1:22" ht="14" x14ac:dyDescent="0.15">
      <c r="A433" s="144"/>
      <c r="B433" s="144"/>
      <c r="C433" s="145"/>
      <c r="D433" s="145"/>
      <c r="E433" s="148"/>
      <c r="F433" s="155"/>
      <c r="G433" s="144"/>
      <c r="H433" s="144"/>
      <c r="I433" s="144"/>
      <c r="J433" s="145"/>
      <c r="K433" s="145"/>
      <c r="L433" s="154"/>
      <c r="M433" s="155"/>
      <c r="N433" s="144"/>
      <c r="O433" s="144"/>
      <c r="P433" s="144"/>
      <c r="Q433" s="145"/>
      <c r="R433" s="145"/>
      <c r="S433" s="154"/>
      <c r="T433" s="155"/>
      <c r="U433" s="144"/>
      <c r="V433" s="144"/>
    </row>
    <row r="434" spans="1:22" ht="14" x14ac:dyDescent="0.15">
      <c r="A434" s="144"/>
      <c r="B434" s="144"/>
      <c r="C434" s="145"/>
      <c r="D434" s="145"/>
      <c r="E434" s="148"/>
      <c r="F434" s="155"/>
      <c r="G434" s="144"/>
      <c r="H434" s="144"/>
      <c r="I434" s="144"/>
      <c r="J434" s="145"/>
      <c r="K434" s="145"/>
      <c r="L434" s="154"/>
      <c r="M434" s="155"/>
      <c r="N434" s="144"/>
      <c r="O434" s="144"/>
      <c r="P434" s="144"/>
      <c r="Q434" s="145"/>
      <c r="R434" s="145"/>
      <c r="S434" s="154"/>
      <c r="T434" s="155"/>
      <c r="U434" s="144"/>
      <c r="V434" s="144"/>
    </row>
    <row r="435" spans="1:22" ht="14" x14ac:dyDescent="0.15">
      <c r="A435" s="144"/>
      <c r="B435" s="144"/>
      <c r="C435" s="145"/>
      <c r="D435" s="145"/>
      <c r="E435" s="148"/>
      <c r="F435" s="155"/>
      <c r="G435" s="144"/>
      <c r="H435" s="144"/>
      <c r="I435" s="144"/>
      <c r="J435" s="145"/>
      <c r="K435" s="145"/>
      <c r="L435" s="154"/>
      <c r="M435" s="155"/>
      <c r="N435" s="144"/>
      <c r="O435" s="144"/>
      <c r="P435" s="144"/>
      <c r="Q435" s="145"/>
      <c r="R435" s="145"/>
      <c r="S435" s="154"/>
      <c r="T435" s="155"/>
      <c r="U435" s="144"/>
      <c r="V435" s="144"/>
    </row>
    <row r="436" spans="1:22" ht="14" x14ac:dyDescent="0.15">
      <c r="A436" s="144"/>
      <c r="B436" s="144"/>
      <c r="C436" s="145"/>
      <c r="D436" s="145"/>
      <c r="E436" s="148"/>
      <c r="F436" s="155"/>
      <c r="G436" s="144"/>
      <c r="H436" s="144"/>
      <c r="I436" s="144"/>
      <c r="J436" s="145"/>
      <c r="K436" s="145"/>
      <c r="L436" s="154"/>
      <c r="M436" s="155"/>
      <c r="N436" s="144"/>
      <c r="O436" s="144"/>
      <c r="P436" s="144"/>
      <c r="Q436" s="145"/>
      <c r="R436" s="145"/>
      <c r="S436" s="154"/>
      <c r="T436" s="155"/>
      <c r="U436" s="144"/>
      <c r="V436" s="144"/>
    </row>
    <row r="437" spans="1:22" ht="14" x14ac:dyDescent="0.15">
      <c r="A437" s="144"/>
      <c r="B437" s="144"/>
      <c r="C437" s="145"/>
      <c r="D437" s="145"/>
      <c r="E437" s="148"/>
      <c r="F437" s="155"/>
      <c r="G437" s="144"/>
      <c r="H437" s="144"/>
      <c r="I437" s="144"/>
      <c r="J437" s="145"/>
      <c r="K437" s="145"/>
      <c r="L437" s="154"/>
      <c r="M437" s="155"/>
      <c r="N437" s="144"/>
      <c r="O437" s="144"/>
      <c r="P437" s="144"/>
      <c r="Q437" s="145"/>
      <c r="R437" s="145"/>
      <c r="S437" s="154"/>
      <c r="T437" s="155"/>
      <c r="U437" s="144"/>
      <c r="V437" s="144"/>
    </row>
    <row r="438" spans="1:22" ht="14" x14ac:dyDescent="0.15">
      <c r="A438" s="144"/>
      <c r="B438" s="144"/>
      <c r="C438" s="145"/>
      <c r="D438" s="145"/>
      <c r="E438" s="148"/>
      <c r="F438" s="155"/>
      <c r="G438" s="144"/>
      <c r="H438" s="144"/>
      <c r="I438" s="144"/>
      <c r="J438" s="145"/>
      <c r="K438" s="145"/>
      <c r="L438" s="154"/>
      <c r="M438" s="155"/>
      <c r="N438" s="144"/>
      <c r="O438" s="144"/>
      <c r="P438" s="144"/>
      <c r="Q438" s="145"/>
      <c r="R438" s="145"/>
      <c r="S438" s="154"/>
      <c r="T438" s="155"/>
      <c r="U438" s="144"/>
      <c r="V438" s="144"/>
    </row>
    <row r="439" spans="1:22" ht="14" x14ac:dyDescent="0.15">
      <c r="A439" s="144"/>
      <c r="B439" s="144"/>
      <c r="C439" s="145"/>
      <c r="D439" s="145"/>
      <c r="E439" s="148"/>
      <c r="F439" s="155"/>
      <c r="G439" s="144"/>
      <c r="H439" s="144"/>
      <c r="I439" s="144"/>
      <c r="J439" s="145"/>
      <c r="K439" s="145"/>
      <c r="L439" s="154"/>
      <c r="M439" s="155"/>
      <c r="N439" s="144"/>
      <c r="O439" s="144"/>
      <c r="P439" s="144"/>
      <c r="Q439" s="145"/>
      <c r="R439" s="145"/>
      <c r="S439" s="154"/>
      <c r="T439" s="155"/>
      <c r="U439" s="144"/>
      <c r="V439" s="144"/>
    </row>
    <row r="440" spans="1:22" ht="14" x14ac:dyDescent="0.15">
      <c r="A440" s="144"/>
      <c r="B440" s="144"/>
      <c r="C440" s="145"/>
      <c r="D440" s="145"/>
      <c r="E440" s="148"/>
      <c r="F440" s="155"/>
      <c r="G440" s="144"/>
      <c r="H440" s="144"/>
      <c r="I440" s="144"/>
      <c r="J440" s="145"/>
      <c r="K440" s="145"/>
      <c r="L440" s="154"/>
      <c r="M440" s="155"/>
      <c r="N440" s="144"/>
      <c r="O440" s="144"/>
      <c r="P440" s="144"/>
      <c r="Q440" s="145"/>
      <c r="R440" s="145"/>
      <c r="S440" s="154"/>
      <c r="T440" s="155"/>
      <c r="U440" s="144"/>
      <c r="V440" s="144"/>
    </row>
    <row r="441" spans="1:22" ht="14" x14ac:dyDescent="0.15">
      <c r="A441" s="144"/>
      <c r="B441" s="144"/>
      <c r="C441" s="145"/>
      <c r="D441" s="145"/>
      <c r="E441" s="148"/>
      <c r="F441" s="155"/>
      <c r="G441" s="144"/>
      <c r="H441" s="144"/>
      <c r="I441" s="144"/>
      <c r="J441" s="145"/>
      <c r="K441" s="145"/>
      <c r="L441" s="154"/>
      <c r="M441" s="155"/>
      <c r="N441" s="144"/>
      <c r="O441" s="144"/>
      <c r="P441" s="144"/>
      <c r="Q441" s="145"/>
      <c r="R441" s="145"/>
      <c r="S441" s="154"/>
      <c r="T441" s="155"/>
      <c r="U441" s="144"/>
      <c r="V441" s="144"/>
    </row>
    <row r="442" spans="1:22" ht="14" x14ac:dyDescent="0.15">
      <c r="A442" s="144"/>
      <c r="B442" s="144"/>
      <c r="C442" s="145"/>
      <c r="D442" s="145"/>
      <c r="E442" s="148"/>
      <c r="F442" s="155"/>
      <c r="G442" s="144"/>
      <c r="H442" s="144"/>
      <c r="I442" s="144"/>
      <c r="J442" s="145"/>
      <c r="K442" s="145"/>
      <c r="L442" s="154"/>
      <c r="M442" s="155"/>
      <c r="N442" s="144"/>
      <c r="O442" s="144"/>
      <c r="P442" s="144"/>
      <c r="Q442" s="145"/>
      <c r="R442" s="145"/>
      <c r="S442" s="154"/>
      <c r="T442" s="155"/>
      <c r="U442" s="144"/>
      <c r="V442" s="144"/>
    </row>
    <row r="443" spans="1:22" ht="14" x14ac:dyDescent="0.15">
      <c r="A443" s="144"/>
      <c r="B443" s="144"/>
      <c r="C443" s="145"/>
      <c r="D443" s="145"/>
      <c r="E443" s="148"/>
      <c r="F443" s="155"/>
      <c r="G443" s="144"/>
      <c r="H443" s="144"/>
      <c r="I443" s="144"/>
      <c r="J443" s="145"/>
      <c r="K443" s="145"/>
      <c r="L443" s="154"/>
      <c r="M443" s="155"/>
      <c r="N443" s="144"/>
      <c r="O443" s="144"/>
      <c r="P443" s="144"/>
      <c r="Q443" s="145"/>
      <c r="R443" s="145"/>
      <c r="S443" s="154"/>
      <c r="T443" s="155"/>
      <c r="U443" s="144"/>
      <c r="V443" s="144"/>
    </row>
    <row r="444" spans="1:22" ht="14" x14ac:dyDescent="0.15">
      <c r="A444" s="144"/>
      <c r="B444" s="144"/>
      <c r="C444" s="145"/>
      <c r="D444" s="145"/>
      <c r="E444" s="148"/>
      <c r="F444" s="155"/>
      <c r="G444" s="144"/>
      <c r="H444" s="144"/>
      <c r="I444" s="144"/>
      <c r="J444" s="145"/>
      <c r="K444" s="145"/>
      <c r="L444" s="154"/>
      <c r="M444" s="155"/>
      <c r="N444" s="144"/>
      <c r="O444" s="144"/>
      <c r="P444" s="144"/>
      <c r="Q444" s="145"/>
      <c r="R444" s="145"/>
      <c r="S444" s="154"/>
      <c r="T444" s="155"/>
      <c r="U444" s="144"/>
      <c r="V444" s="144"/>
    </row>
    <row r="445" spans="1:22" ht="14" x14ac:dyDescent="0.15">
      <c r="A445" s="144"/>
      <c r="B445" s="144"/>
      <c r="C445" s="145"/>
      <c r="D445" s="145"/>
      <c r="E445" s="148"/>
      <c r="F445" s="155"/>
      <c r="G445" s="144"/>
      <c r="H445" s="144"/>
      <c r="I445" s="144"/>
      <c r="J445" s="145"/>
      <c r="K445" s="145"/>
      <c r="L445" s="154"/>
      <c r="M445" s="155"/>
      <c r="N445" s="144"/>
      <c r="O445" s="144"/>
      <c r="P445" s="144"/>
      <c r="Q445" s="145"/>
      <c r="R445" s="145"/>
      <c r="S445" s="154"/>
      <c r="T445" s="155"/>
      <c r="U445" s="144"/>
      <c r="V445" s="144"/>
    </row>
    <row r="446" spans="1:22" ht="14" x14ac:dyDescent="0.15">
      <c r="A446" s="144"/>
      <c r="B446" s="144"/>
      <c r="C446" s="145"/>
      <c r="D446" s="145"/>
      <c r="E446" s="148"/>
      <c r="F446" s="155"/>
      <c r="G446" s="144"/>
      <c r="H446" s="144"/>
      <c r="I446" s="144"/>
      <c r="J446" s="145"/>
      <c r="K446" s="145"/>
      <c r="L446" s="154"/>
      <c r="M446" s="155"/>
      <c r="N446" s="144"/>
      <c r="O446" s="144"/>
      <c r="P446" s="144"/>
      <c r="Q446" s="145"/>
      <c r="R446" s="145"/>
      <c r="S446" s="154"/>
      <c r="T446" s="155"/>
      <c r="U446" s="144"/>
      <c r="V446" s="144"/>
    </row>
    <row r="447" spans="1:22" ht="14" x14ac:dyDescent="0.15">
      <c r="A447" s="144"/>
      <c r="B447" s="144"/>
      <c r="C447" s="145"/>
      <c r="D447" s="145"/>
      <c r="E447" s="148"/>
      <c r="F447" s="155"/>
      <c r="G447" s="144"/>
      <c r="H447" s="144"/>
      <c r="I447" s="144"/>
      <c r="J447" s="145"/>
      <c r="K447" s="145"/>
      <c r="L447" s="154"/>
      <c r="M447" s="155"/>
      <c r="N447" s="144"/>
      <c r="O447" s="144"/>
      <c r="P447" s="144"/>
      <c r="Q447" s="145"/>
      <c r="R447" s="145"/>
      <c r="S447" s="154"/>
      <c r="T447" s="155"/>
      <c r="U447" s="144"/>
      <c r="V447" s="144"/>
    </row>
    <row r="448" spans="1:22" ht="14" x14ac:dyDescent="0.15">
      <c r="A448" s="144"/>
      <c r="B448" s="144"/>
      <c r="C448" s="145"/>
      <c r="D448" s="145"/>
      <c r="E448" s="148"/>
      <c r="F448" s="155"/>
      <c r="G448" s="144"/>
      <c r="H448" s="144"/>
      <c r="I448" s="144"/>
      <c r="J448" s="145"/>
      <c r="K448" s="145"/>
      <c r="L448" s="154"/>
      <c r="M448" s="155"/>
      <c r="N448" s="144"/>
      <c r="O448" s="144"/>
      <c r="P448" s="144"/>
      <c r="Q448" s="145"/>
      <c r="R448" s="145"/>
      <c r="S448" s="154"/>
      <c r="T448" s="155"/>
      <c r="U448" s="144"/>
      <c r="V448" s="144"/>
    </row>
    <row r="449" spans="1:22" ht="14" x14ac:dyDescent="0.15">
      <c r="A449" s="144"/>
      <c r="B449" s="144"/>
      <c r="C449" s="145"/>
      <c r="D449" s="145"/>
      <c r="E449" s="148"/>
      <c r="F449" s="155"/>
      <c r="G449" s="144"/>
      <c r="H449" s="144"/>
      <c r="I449" s="144"/>
      <c r="J449" s="145"/>
      <c r="K449" s="145"/>
      <c r="L449" s="154"/>
      <c r="M449" s="155"/>
      <c r="N449" s="144"/>
      <c r="O449" s="144"/>
      <c r="P449" s="144"/>
      <c r="Q449" s="145"/>
      <c r="R449" s="145"/>
      <c r="S449" s="154"/>
      <c r="T449" s="155"/>
      <c r="U449" s="144"/>
      <c r="V449" s="144"/>
    </row>
    <row r="450" spans="1:22" ht="14" x14ac:dyDescent="0.15">
      <c r="A450" s="144"/>
      <c r="B450" s="144"/>
      <c r="C450" s="145"/>
      <c r="D450" s="145"/>
      <c r="E450" s="148"/>
      <c r="F450" s="155"/>
      <c r="G450" s="144"/>
      <c r="H450" s="144"/>
      <c r="I450" s="144"/>
      <c r="J450" s="145"/>
      <c r="K450" s="145"/>
      <c r="L450" s="154"/>
      <c r="M450" s="155"/>
      <c r="N450" s="144"/>
      <c r="O450" s="144"/>
      <c r="P450" s="144"/>
      <c r="Q450" s="145"/>
      <c r="R450" s="145"/>
      <c r="S450" s="154"/>
      <c r="T450" s="155"/>
      <c r="U450" s="144"/>
      <c r="V450" s="144"/>
    </row>
    <row r="451" spans="1:22" ht="14" x14ac:dyDescent="0.15">
      <c r="A451" s="144"/>
      <c r="B451" s="144"/>
      <c r="C451" s="145"/>
      <c r="D451" s="145"/>
      <c r="E451" s="148"/>
      <c r="F451" s="155"/>
      <c r="G451" s="144"/>
      <c r="H451" s="144"/>
      <c r="I451" s="144"/>
      <c r="J451" s="145"/>
      <c r="K451" s="145"/>
      <c r="L451" s="154"/>
      <c r="M451" s="155"/>
      <c r="N451" s="144"/>
      <c r="O451" s="144"/>
      <c r="P451" s="144"/>
      <c r="Q451" s="145"/>
      <c r="R451" s="145"/>
      <c r="S451" s="154"/>
      <c r="T451" s="155"/>
      <c r="U451" s="144"/>
      <c r="V451" s="144"/>
    </row>
    <row r="452" spans="1:22" ht="14" x14ac:dyDescent="0.15">
      <c r="A452" s="144"/>
      <c r="B452" s="144"/>
      <c r="C452" s="145"/>
      <c r="D452" s="145"/>
      <c r="E452" s="148"/>
      <c r="F452" s="155"/>
      <c r="G452" s="144"/>
      <c r="H452" s="144"/>
      <c r="I452" s="144"/>
      <c r="J452" s="145"/>
      <c r="K452" s="145"/>
      <c r="L452" s="154"/>
      <c r="M452" s="155"/>
      <c r="N452" s="144"/>
      <c r="O452" s="144"/>
      <c r="P452" s="144"/>
      <c r="Q452" s="145"/>
      <c r="R452" s="145"/>
      <c r="S452" s="154"/>
      <c r="T452" s="155"/>
      <c r="U452" s="144"/>
      <c r="V452" s="144"/>
    </row>
    <row r="453" spans="1:22" ht="14" x14ac:dyDescent="0.15">
      <c r="A453" s="144"/>
      <c r="B453" s="144"/>
      <c r="C453" s="145"/>
      <c r="D453" s="145"/>
      <c r="E453" s="148"/>
      <c r="F453" s="155"/>
      <c r="G453" s="144"/>
      <c r="H453" s="144"/>
      <c r="I453" s="144"/>
      <c r="J453" s="145"/>
      <c r="K453" s="145"/>
      <c r="L453" s="154"/>
      <c r="M453" s="155"/>
      <c r="N453" s="144"/>
      <c r="O453" s="144"/>
      <c r="P453" s="144"/>
      <c r="Q453" s="145"/>
      <c r="R453" s="145"/>
      <c r="S453" s="154"/>
      <c r="T453" s="155"/>
      <c r="U453" s="144"/>
      <c r="V453" s="144"/>
    </row>
    <row r="454" spans="1:22" ht="14" x14ac:dyDescent="0.15">
      <c r="A454" s="144"/>
      <c r="B454" s="144"/>
      <c r="C454" s="145"/>
      <c r="D454" s="145"/>
      <c r="E454" s="148"/>
      <c r="F454" s="155"/>
      <c r="G454" s="144"/>
      <c r="H454" s="144"/>
      <c r="I454" s="144"/>
      <c r="J454" s="145"/>
      <c r="K454" s="145"/>
      <c r="L454" s="154"/>
      <c r="M454" s="155"/>
      <c r="N454" s="144"/>
      <c r="O454" s="144"/>
      <c r="P454" s="144"/>
      <c r="Q454" s="145"/>
      <c r="R454" s="145"/>
      <c r="S454" s="154"/>
      <c r="T454" s="155"/>
      <c r="U454" s="144"/>
      <c r="V454" s="144"/>
    </row>
    <row r="455" spans="1:22" ht="14" x14ac:dyDescent="0.15">
      <c r="A455" s="144"/>
      <c r="B455" s="144"/>
      <c r="C455" s="145"/>
      <c r="D455" s="145"/>
      <c r="E455" s="148"/>
      <c r="F455" s="155"/>
      <c r="G455" s="144"/>
      <c r="H455" s="144"/>
      <c r="I455" s="144"/>
      <c r="J455" s="145"/>
      <c r="K455" s="145"/>
      <c r="L455" s="154"/>
      <c r="M455" s="155"/>
      <c r="N455" s="144"/>
      <c r="O455" s="144"/>
      <c r="P455" s="144"/>
      <c r="Q455" s="145"/>
      <c r="R455" s="145"/>
      <c r="S455" s="154"/>
      <c r="T455" s="155"/>
      <c r="U455" s="144"/>
      <c r="V455" s="144"/>
    </row>
    <row r="456" spans="1:22" ht="14" x14ac:dyDescent="0.15">
      <c r="A456" s="144"/>
      <c r="B456" s="144"/>
      <c r="C456" s="145"/>
      <c r="D456" s="145"/>
      <c r="E456" s="148"/>
      <c r="F456" s="155"/>
      <c r="G456" s="144"/>
      <c r="H456" s="144"/>
      <c r="I456" s="144"/>
      <c r="J456" s="145"/>
      <c r="K456" s="145"/>
      <c r="L456" s="154"/>
      <c r="M456" s="155"/>
      <c r="N456" s="144"/>
      <c r="O456" s="144"/>
      <c r="P456" s="144"/>
      <c r="Q456" s="145"/>
      <c r="R456" s="145"/>
      <c r="S456" s="154"/>
      <c r="T456" s="155"/>
      <c r="U456" s="144"/>
      <c r="V456" s="144"/>
    </row>
    <row r="457" spans="1:22" ht="14" x14ac:dyDescent="0.15">
      <c r="A457" s="144"/>
      <c r="B457" s="144"/>
      <c r="C457" s="145"/>
      <c r="D457" s="145"/>
      <c r="E457" s="148"/>
      <c r="F457" s="155"/>
      <c r="G457" s="144"/>
      <c r="H457" s="144"/>
      <c r="I457" s="144"/>
      <c r="J457" s="145"/>
      <c r="K457" s="145"/>
      <c r="L457" s="154"/>
      <c r="M457" s="155"/>
      <c r="N457" s="144"/>
      <c r="O457" s="144"/>
      <c r="P457" s="144"/>
      <c r="Q457" s="145"/>
      <c r="R457" s="145"/>
      <c r="S457" s="154"/>
      <c r="T457" s="155"/>
      <c r="U457" s="144"/>
      <c r="V457" s="144"/>
    </row>
    <row r="458" spans="1:22" ht="14" x14ac:dyDescent="0.15">
      <c r="A458" s="144"/>
      <c r="B458" s="144"/>
      <c r="C458" s="145"/>
      <c r="D458" s="145"/>
      <c r="E458" s="148"/>
      <c r="F458" s="155"/>
      <c r="G458" s="144"/>
      <c r="H458" s="144"/>
      <c r="I458" s="144"/>
      <c r="J458" s="145"/>
      <c r="K458" s="145"/>
      <c r="L458" s="154"/>
      <c r="M458" s="155"/>
      <c r="N458" s="144"/>
      <c r="O458" s="144"/>
      <c r="P458" s="144"/>
      <c r="Q458" s="145"/>
      <c r="R458" s="145"/>
      <c r="S458" s="154"/>
      <c r="T458" s="155"/>
      <c r="U458" s="144"/>
      <c r="V458" s="144"/>
    </row>
    <row r="459" spans="1:22" ht="14" x14ac:dyDescent="0.15">
      <c r="A459" s="144"/>
      <c r="B459" s="144"/>
      <c r="C459" s="145"/>
      <c r="D459" s="145"/>
      <c r="E459" s="148"/>
      <c r="F459" s="155"/>
      <c r="G459" s="144"/>
      <c r="H459" s="144"/>
      <c r="I459" s="144"/>
      <c r="J459" s="145"/>
      <c r="K459" s="145"/>
      <c r="L459" s="154"/>
      <c r="M459" s="155"/>
      <c r="N459" s="144"/>
      <c r="O459" s="144"/>
      <c r="P459" s="144"/>
      <c r="Q459" s="145"/>
      <c r="R459" s="145"/>
      <c r="S459" s="154"/>
      <c r="T459" s="155"/>
      <c r="U459" s="144"/>
      <c r="V459" s="144"/>
    </row>
    <row r="460" spans="1:22" ht="14" x14ac:dyDescent="0.15">
      <c r="A460" s="144"/>
      <c r="B460" s="144"/>
      <c r="C460" s="145"/>
      <c r="D460" s="145"/>
      <c r="E460" s="148"/>
      <c r="F460" s="155"/>
      <c r="G460" s="144"/>
      <c r="H460" s="144"/>
      <c r="I460" s="144"/>
      <c r="J460" s="145"/>
      <c r="K460" s="145"/>
      <c r="L460" s="154"/>
      <c r="M460" s="155"/>
      <c r="N460" s="144"/>
      <c r="O460" s="144"/>
      <c r="P460" s="144"/>
      <c r="Q460" s="145"/>
      <c r="R460" s="145"/>
      <c r="S460" s="154"/>
      <c r="T460" s="155"/>
      <c r="U460" s="144"/>
      <c r="V460" s="144"/>
    </row>
    <row r="461" spans="1:22" ht="14" x14ac:dyDescent="0.15">
      <c r="A461" s="144"/>
      <c r="B461" s="144"/>
      <c r="C461" s="145"/>
      <c r="D461" s="145"/>
      <c r="E461" s="148"/>
      <c r="F461" s="155"/>
      <c r="G461" s="144"/>
      <c r="H461" s="144"/>
      <c r="I461" s="144"/>
      <c r="J461" s="145"/>
      <c r="K461" s="145"/>
      <c r="L461" s="154"/>
      <c r="M461" s="155"/>
      <c r="N461" s="144"/>
      <c r="O461" s="144"/>
      <c r="P461" s="144"/>
      <c r="Q461" s="145"/>
      <c r="R461" s="145"/>
      <c r="S461" s="154"/>
      <c r="T461" s="155"/>
      <c r="U461" s="144"/>
      <c r="V461" s="144"/>
    </row>
    <row r="462" spans="1:22" ht="14" x14ac:dyDescent="0.15">
      <c r="A462" s="144"/>
      <c r="B462" s="144"/>
      <c r="C462" s="145"/>
      <c r="D462" s="145"/>
      <c r="E462" s="148"/>
      <c r="F462" s="155"/>
      <c r="G462" s="144"/>
      <c r="H462" s="144"/>
      <c r="I462" s="144"/>
      <c r="J462" s="145"/>
      <c r="K462" s="145"/>
      <c r="L462" s="154"/>
      <c r="M462" s="155"/>
      <c r="N462" s="144"/>
      <c r="O462" s="144"/>
      <c r="P462" s="144"/>
      <c r="Q462" s="145"/>
      <c r="R462" s="145"/>
      <c r="S462" s="154"/>
      <c r="T462" s="155"/>
      <c r="U462" s="144"/>
      <c r="V462" s="144"/>
    </row>
    <row r="463" spans="1:22" ht="14" x14ac:dyDescent="0.15">
      <c r="A463" s="144"/>
      <c r="B463" s="144"/>
      <c r="C463" s="145"/>
      <c r="D463" s="145"/>
      <c r="E463" s="148"/>
      <c r="F463" s="155"/>
      <c r="G463" s="144"/>
      <c r="H463" s="144"/>
      <c r="I463" s="144"/>
      <c r="J463" s="145"/>
      <c r="K463" s="145"/>
      <c r="L463" s="154"/>
      <c r="M463" s="155"/>
      <c r="N463" s="144"/>
      <c r="O463" s="144"/>
      <c r="P463" s="144"/>
      <c r="Q463" s="145"/>
      <c r="R463" s="145"/>
      <c r="S463" s="154"/>
      <c r="T463" s="155"/>
      <c r="U463" s="144"/>
      <c r="V463" s="144"/>
    </row>
    <row r="464" spans="1:22" ht="14" x14ac:dyDescent="0.15">
      <c r="A464" s="144"/>
      <c r="B464" s="144"/>
      <c r="C464" s="145"/>
      <c r="D464" s="145"/>
      <c r="E464" s="148"/>
      <c r="F464" s="155"/>
      <c r="G464" s="144"/>
      <c r="H464" s="144"/>
      <c r="I464" s="144"/>
      <c r="J464" s="145"/>
      <c r="K464" s="145"/>
      <c r="L464" s="154"/>
      <c r="M464" s="155"/>
      <c r="N464" s="144"/>
      <c r="O464" s="144"/>
      <c r="P464" s="144"/>
      <c r="Q464" s="145"/>
      <c r="R464" s="145"/>
      <c r="S464" s="154"/>
      <c r="T464" s="155"/>
      <c r="U464" s="144"/>
      <c r="V464" s="144"/>
    </row>
    <row r="465" spans="1:22" ht="14" x14ac:dyDescent="0.15">
      <c r="A465" s="144"/>
      <c r="B465" s="144"/>
      <c r="C465" s="145"/>
      <c r="D465" s="145"/>
      <c r="E465" s="148"/>
      <c r="F465" s="155"/>
      <c r="G465" s="144"/>
      <c r="H465" s="144"/>
      <c r="I465" s="144"/>
      <c r="J465" s="145"/>
      <c r="K465" s="145"/>
      <c r="L465" s="154"/>
      <c r="M465" s="155"/>
      <c r="N465" s="144"/>
      <c r="O465" s="144"/>
      <c r="P465" s="144"/>
      <c r="Q465" s="145"/>
      <c r="R465" s="145"/>
      <c r="S465" s="154"/>
      <c r="T465" s="155"/>
      <c r="U465" s="144"/>
      <c r="V465" s="144"/>
    </row>
    <row r="466" spans="1:22" ht="14" x14ac:dyDescent="0.15">
      <c r="A466" s="144"/>
      <c r="B466" s="144"/>
      <c r="C466" s="145"/>
      <c r="D466" s="145"/>
      <c r="E466" s="148"/>
      <c r="F466" s="155"/>
      <c r="G466" s="144"/>
      <c r="H466" s="144"/>
      <c r="I466" s="144"/>
      <c r="J466" s="145"/>
      <c r="K466" s="145"/>
      <c r="L466" s="154"/>
      <c r="M466" s="155"/>
      <c r="N466" s="144"/>
      <c r="O466" s="144"/>
      <c r="P466" s="144"/>
      <c r="Q466" s="145"/>
      <c r="R466" s="145"/>
      <c r="S466" s="154"/>
      <c r="T466" s="155"/>
      <c r="U466" s="144"/>
      <c r="V466" s="144"/>
    </row>
    <row r="467" spans="1:22" ht="14" x14ac:dyDescent="0.15">
      <c r="A467" s="144"/>
      <c r="B467" s="144"/>
      <c r="C467" s="145"/>
      <c r="D467" s="145"/>
      <c r="E467" s="148"/>
      <c r="F467" s="155"/>
      <c r="G467" s="144"/>
      <c r="H467" s="144"/>
      <c r="I467" s="144"/>
      <c r="J467" s="145"/>
      <c r="K467" s="145"/>
      <c r="L467" s="154"/>
      <c r="M467" s="155"/>
      <c r="N467" s="144"/>
      <c r="O467" s="144"/>
      <c r="P467" s="144"/>
      <c r="Q467" s="145"/>
      <c r="R467" s="145"/>
      <c r="S467" s="154"/>
      <c r="T467" s="155"/>
      <c r="U467" s="144"/>
      <c r="V467" s="144"/>
    </row>
    <row r="468" spans="1:22" ht="14" x14ac:dyDescent="0.15">
      <c r="A468" s="144"/>
      <c r="B468" s="144"/>
      <c r="C468" s="145"/>
      <c r="D468" s="145"/>
      <c r="E468" s="148"/>
      <c r="F468" s="155"/>
      <c r="G468" s="144"/>
      <c r="H468" s="144"/>
      <c r="I468" s="144"/>
      <c r="J468" s="145"/>
      <c r="K468" s="145"/>
      <c r="L468" s="154"/>
      <c r="M468" s="155"/>
      <c r="N468" s="144"/>
      <c r="O468" s="144"/>
      <c r="P468" s="144"/>
      <c r="Q468" s="145"/>
      <c r="R468" s="145"/>
      <c r="S468" s="154"/>
      <c r="T468" s="155"/>
      <c r="U468" s="144"/>
      <c r="V468" s="144"/>
    </row>
    <row r="469" spans="1:22" ht="14" x14ac:dyDescent="0.15">
      <c r="A469" s="144"/>
      <c r="B469" s="144"/>
      <c r="C469" s="145"/>
      <c r="D469" s="145"/>
      <c r="E469" s="148"/>
      <c r="F469" s="155"/>
      <c r="G469" s="144"/>
      <c r="H469" s="144"/>
      <c r="I469" s="144"/>
      <c r="J469" s="145"/>
      <c r="K469" s="145"/>
      <c r="L469" s="154"/>
      <c r="M469" s="155"/>
      <c r="N469" s="144"/>
      <c r="O469" s="144"/>
      <c r="P469" s="144"/>
      <c r="Q469" s="145"/>
      <c r="R469" s="145"/>
      <c r="S469" s="154"/>
      <c r="T469" s="155"/>
      <c r="U469" s="144"/>
      <c r="V469" s="144"/>
    </row>
    <row r="470" spans="1:22" ht="14" x14ac:dyDescent="0.15">
      <c r="A470" s="144"/>
      <c r="B470" s="144"/>
      <c r="C470" s="145"/>
      <c r="D470" s="145"/>
      <c r="E470" s="148"/>
      <c r="F470" s="155"/>
      <c r="G470" s="144"/>
      <c r="H470" s="144"/>
      <c r="I470" s="144"/>
      <c r="J470" s="145"/>
      <c r="K470" s="145"/>
      <c r="L470" s="154"/>
      <c r="M470" s="155"/>
      <c r="N470" s="144"/>
      <c r="O470" s="144"/>
      <c r="P470" s="144"/>
      <c r="Q470" s="145"/>
      <c r="R470" s="145"/>
      <c r="S470" s="154"/>
      <c r="T470" s="155"/>
      <c r="U470" s="144"/>
      <c r="V470" s="144"/>
    </row>
    <row r="471" spans="1:22" ht="14" x14ac:dyDescent="0.15">
      <c r="A471" s="144"/>
      <c r="B471" s="144"/>
      <c r="C471" s="145"/>
      <c r="D471" s="145"/>
      <c r="E471" s="148"/>
      <c r="F471" s="155"/>
      <c r="G471" s="144"/>
      <c r="H471" s="144"/>
      <c r="I471" s="144"/>
      <c r="J471" s="145"/>
      <c r="K471" s="145"/>
      <c r="L471" s="154"/>
      <c r="M471" s="155"/>
      <c r="N471" s="144"/>
      <c r="O471" s="144"/>
      <c r="P471" s="144"/>
      <c r="Q471" s="145"/>
      <c r="R471" s="145"/>
      <c r="S471" s="154"/>
      <c r="T471" s="155"/>
      <c r="U471" s="144"/>
      <c r="V471" s="144"/>
    </row>
    <row r="472" spans="1:22" ht="14" x14ac:dyDescent="0.15">
      <c r="A472" s="144"/>
      <c r="B472" s="144"/>
      <c r="C472" s="145"/>
      <c r="D472" s="145"/>
      <c r="E472" s="148"/>
      <c r="F472" s="155"/>
      <c r="G472" s="144"/>
      <c r="H472" s="144"/>
      <c r="I472" s="144"/>
      <c r="J472" s="145"/>
      <c r="K472" s="145"/>
      <c r="L472" s="154"/>
      <c r="M472" s="155"/>
      <c r="N472" s="144"/>
      <c r="O472" s="144"/>
      <c r="P472" s="144"/>
      <c r="Q472" s="145"/>
      <c r="R472" s="145"/>
      <c r="S472" s="154"/>
      <c r="T472" s="155"/>
      <c r="U472" s="144"/>
      <c r="V472" s="144"/>
    </row>
    <row r="473" spans="1:22" ht="14" x14ac:dyDescent="0.15">
      <c r="A473" s="144"/>
      <c r="B473" s="144"/>
      <c r="C473" s="145"/>
      <c r="D473" s="145"/>
      <c r="E473" s="148"/>
      <c r="F473" s="155"/>
      <c r="G473" s="144"/>
      <c r="H473" s="144"/>
      <c r="I473" s="144"/>
      <c r="J473" s="145"/>
      <c r="K473" s="145"/>
      <c r="L473" s="154"/>
      <c r="M473" s="155"/>
      <c r="N473" s="144"/>
      <c r="O473" s="144"/>
      <c r="P473" s="144"/>
      <c r="Q473" s="145"/>
      <c r="R473" s="145"/>
      <c r="S473" s="154"/>
      <c r="T473" s="155"/>
      <c r="U473" s="144"/>
      <c r="V473" s="144"/>
    </row>
    <row r="474" spans="1:22" ht="14" x14ac:dyDescent="0.15">
      <c r="A474" s="144"/>
      <c r="B474" s="144"/>
      <c r="C474" s="145"/>
      <c r="D474" s="145"/>
      <c r="E474" s="148"/>
      <c r="F474" s="155"/>
      <c r="G474" s="144"/>
      <c r="H474" s="144"/>
      <c r="I474" s="144"/>
      <c r="J474" s="145"/>
      <c r="K474" s="145"/>
      <c r="L474" s="154"/>
      <c r="M474" s="155"/>
      <c r="N474" s="144"/>
      <c r="O474" s="144"/>
      <c r="P474" s="144"/>
      <c r="Q474" s="145"/>
      <c r="R474" s="145"/>
      <c r="S474" s="154"/>
      <c r="T474" s="155"/>
      <c r="U474" s="144"/>
      <c r="V474" s="144"/>
    </row>
    <row r="475" spans="1:22" ht="14" x14ac:dyDescent="0.15">
      <c r="A475" s="144"/>
      <c r="B475" s="144"/>
      <c r="C475" s="145"/>
      <c r="D475" s="145"/>
      <c r="E475" s="148"/>
      <c r="F475" s="155"/>
      <c r="G475" s="144"/>
      <c r="H475" s="144"/>
      <c r="I475" s="144"/>
      <c r="J475" s="145"/>
      <c r="K475" s="145"/>
      <c r="L475" s="154"/>
      <c r="M475" s="155"/>
      <c r="N475" s="144"/>
      <c r="O475" s="144"/>
      <c r="P475" s="144"/>
      <c r="Q475" s="145"/>
      <c r="R475" s="145"/>
      <c r="S475" s="154"/>
      <c r="T475" s="155"/>
      <c r="U475" s="144"/>
      <c r="V475" s="144"/>
    </row>
    <row r="476" spans="1:22" ht="14" x14ac:dyDescent="0.15">
      <c r="A476" s="144"/>
      <c r="B476" s="144"/>
      <c r="C476" s="145"/>
      <c r="D476" s="145"/>
      <c r="E476" s="148"/>
      <c r="F476" s="155"/>
      <c r="G476" s="144"/>
      <c r="H476" s="144"/>
      <c r="I476" s="144"/>
      <c r="J476" s="145"/>
      <c r="K476" s="145"/>
      <c r="L476" s="154"/>
      <c r="M476" s="155"/>
      <c r="N476" s="144"/>
      <c r="O476" s="144"/>
      <c r="P476" s="144"/>
      <c r="Q476" s="145"/>
      <c r="R476" s="145"/>
      <c r="S476" s="154"/>
      <c r="T476" s="155"/>
      <c r="U476" s="144"/>
      <c r="V476" s="144"/>
    </row>
    <row r="477" spans="1:22" ht="14" x14ac:dyDescent="0.15">
      <c r="A477" s="144"/>
      <c r="B477" s="144"/>
      <c r="C477" s="145"/>
      <c r="D477" s="145"/>
      <c r="E477" s="148"/>
      <c r="F477" s="155"/>
      <c r="G477" s="144"/>
      <c r="H477" s="144"/>
      <c r="I477" s="144"/>
      <c r="J477" s="145"/>
      <c r="K477" s="145"/>
      <c r="L477" s="154"/>
      <c r="M477" s="155"/>
      <c r="N477" s="144"/>
      <c r="O477" s="144"/>
      <c r="P477" s="144"/>
      <c r="Q477" s="145"/>
      <c r="R477" s="145"/>
      <c r="S477" s="154"/>
      <c r="T477" s="155"/>
      <c r="U477" s="144"/>
      <c r="V477" s="144"/>
    </row>
    <row r="478" spans="1:22" ht="14" x14ac:dyDescent="0.15">
      <c r="A478" s="144"/>
      <c r="B478" s="144"/>
      <c r="C478" s="145"/>
      <c r="D478" s="145"/>
      <c r="E478" s="148"/>
      <c r="F478" s="155"/>
      <c r="G478" s="144"/>
      <c r="H478" s="144"/>
      <c r="I478" s="144"/>
      <c r="J478" s="145"/>
      <c r="K478" s="145"/>
      <c r="L478" s="154"/>
      <c r="M478" s="155"/>
      <c r="N478" s="144"/>
      <c r="O478" s="144"/>
      <c r="P478" s="144"/>
      <c r="Q478" s="145"/>
      <c r="R478" s="145"/>
      <c r="S478" s="154"/>
      <c r="T478" s="155"/>
      <c r="U478" s="144"/>
      <c r="V478" s="144"/>
    </row>
    <row r="479" spans="1:22" ht="14" x14ac:dyDescent="0.15">
      <c r="A479" s="144"/>
      <c r="B479" s="144"/>
      <c r="C479" s="145"/>
      <c r="D479" s="145"/>
      <c r="E479" s="148"/>
      <c r="F479" s="155"/>
      <c r="G479" s="144"/>
      <c r="H479" s="144"/>
      <c r="I479" s="144"/>
      <c r="J479" s="145"/>
      <c r="K479" s="145"/>
      <c r="L479" s="154"/>
      <c r="M479" s="155"/>
      <c r="N479" s="144"/>
      <c r="O479" s="144"/>
      <c r="P479" s="144"/>
      <c r="Q479" s="145"/>
      <c r="R479" s="145"/>
      <c r="S479" s="154"/>
      <c r="T479" s="155"/>
      <c r="U479" s="144"/>
      <c r="V479" s="144"/>
    </row>
    <row r="480" spans="1:22" ht="14" x14ac:dyDescent="0.15">
      <c r="A480" s="144"/>
      <c r="B480" s="144"/>
      <c r="C480" s="145"/>
      <c r="D480" s="145"/>
      <c r="E480" s="148"/>
      <c r="F480" s="155"/>
      <c r="G480" s="144"/>
      <c r="H480" s="144"/>
      <c r="I480" s="144"/>
      <c r="J480" s="145"/>
      <c r="K480" s="145"/>
      <c r="L480" s="154"/>
      <c r="M480" s="155"/>
      <c r="N480" s="144"/>
      <c r="O480" s="144"/>
      <c r="P480" s="144"/>
      <c r="Q480" s="145"/>
      <c r="R480" s="145"/>
      <c r="S480" s="154"/>
      <c r="T480" s="155"/>
      <c r="U480" s="144"/>
      <c r="V480" s="144"/>
    </row>
    <row r="481" spans="1:22" ht="14" x14ac:dyDescent="0.15">
      <c r="A481" s="144"/>
      <c r="B481" s="144"/>
      <c r="C481" s="145"/>
      <c r="D481" s="145"/>
      <c r="E481" s="148"/>
      <c r="F481" s="155"/>
      <c r="G481" s="144"/>
      <c r="H481" s="144"/>
      <c r="I481" s="144"/>
      <c r="J481" s="145"/>
      <c r="K481" s="145"/>
      <c r="L481" s="154"/>
      <c r="M481" s="155"/>
      <c r="N481" s="144"/>
      <c r="O481" s="144"/>
      <c r="P481" s="144"/>
      <c r="Q481" s="145"/>
      <c r="R481" s="145"/>
      <c r="S481" s="154"/>
      <c r="T481" s="155"/>
      <c r="U481" s="144"/>
      <c r="V481" s="144"/>
    </row>
    <row r="482" spans="1:22" ht="14" x14ac:dyDescent="0.15">
      <c r="A482" s="144"/>
      <c r="B482" s="144"/>
      <c r="C482" s="145"/>
      <c r="D482" s="145"/>
      <c r="E482" s="148"/>
      <c r="F482" s="155"/>
      <c r="G482" s="144"/>
      <c r="H482" s="144"/>
      <c r="I482" s="144"/>
      <c r="J482" s="145"/>
      <c r="K482" s="145"/>
      <c r="L482" s="154"/>
      <c r="M482" s="155"/>
      <c r="N482" s="144"/>
      <c r="O482" s="144"/>
      <c r="P482" s="144"/>
      <c r="Q482" s="145"/>
      <c r="R482" s="145"/>
      <c r="S482" s="154"/>
      <c r="T482" s="155"/>
      <c r="U482" s="144"/>
      <c r="V482" s="144"/>
    </row>
    <row r="483" spans="1:22" ht="14" x14ac:dyDescent="0.15">
      <c r="A483" s="144"/>
      <c r="B483" s="144"/>
      <c r="C483" s="145"/>
      <c r="D483" s="145"/>
      <c r="E483" s="148"/>
      <c r="F483" s="155"/>
      <c r="G483" s="144"/>
      <c r="H483" s="144"/>
      <c r="I483" s="144"/>
      <c r="J483" s="145"/>
      <c r="K483" s="145"/>
      <c r="L483" s="154"/>
      <c r="M483" s="155"/>
      <c r="N483" s="144"/>
      <c r="O483" s="144"/>
      <c r="P483" s="144"/>
      <c r="Q483" s="145"/>
      <c r="R483" s="145"/>
      <c r="S483" s="154"/>
      <c r="T483" s="155"/>
      <c r="U483" s="144"/>
      <c r="V483" s="144"/>
    </row>
    <row r="484" spans="1:22" ht="14" x14ac:dyDescent="0.15">
      <c r="A484" s="144"/>
      <c r="B484" s="144"/>
      <c r="C484" s="145"/>
      <c r="D484" s="145"/>
      <c r="E484" s="148"/>
      <c r="F484" s="155"/>
      <c r="G484" s="144"/>
      <c r="H484" s="144"/>
      <c r="I484" s="144"/>
      <c r="J484" s="145"/>
      <c r="K484" s="145"/>
      <c r="L484" s="154"/>
      <c r="M484" s="155"/>
      <c r="N484" s="144"/>
      <c r="O484" s="144"/>
      <c r="P484" s="144"/>
      <c r="Q484" s="145"/>
      <c r="R484" s="145"/>
      <c r="S484" s="154"/>
      <c r="T484" s="155"/>
      <c r="U484" s="144"/>
      <c r="V484" s="144"/>
    </row>
    <row r="485" spans="1:22" ht="14" x14ac:dyDescent="0.15">
      <c r="A485" s="144"/>
      <c r="B485" s="144"/>
      <c r="C485" s="145"/>
      <c r="D485" s="145"/>
      <c r="E485" s="148"/>
      <c r="F485" s="155"/>
      <c r="G485" s="144"/>
      <c r="H485" s="144"/>
      <c r="I485" s="144"/>
      <c r="J485" s="145"/>
      <c r="K485" s="145"/>
      <c r="L485" s="154"/>
      <c r="M485" s="155"/>
      <c r="N485" s="144"/>
      <c r="O485" s="144"/>
      <c r="P485" s="144"/>
      <c r="Q485" s="145"/>
      <c r="R485" s="145"/>
      <c r="S485" s="154"/>
      <c r="T485" s="155"/>
      <c r="U485" s="144"/>
      <c r="V485" s="144"/>
    </row>
    <row r="486" spans="1:22" ht="14" x14ac:dyDescent="0.15">
      <c r="A486" s="144"/>
      <c r="B486" s="144"/>
      <c r="C486" s="145"/>
      <c r="D486" s="145"/>
      <c r="E486" s="148"/>
      <c r="F486" s="155"/>
      <c r="G486" s="144"/>
      <c r="H486" s="144"/>
      <c r="I486" s="144"/>
      <c r="J486" s="145"/>
      <c r="K486" s="145"/>
      <c r="L486" s="154"/>
      <c r="M486" s="155"/>
      <c r="N486" s="144"/>
      <c r="O486" s="144"/>
      <c r="P486" s="144"/>
      <c r="Q486" s="145"/>
      <c r="R486" s="145"/>
      <c r="S486" s="154"/>
      <c r="T486" s="155"/>
      <c r="U486" s="144"/>
      <c r="V486" s="144"/>
    </row>
    <row r="487" spans="1:22" ht="14" x14ac:dyDescent="0.15">
      <c r="A487" s="144"/>
      <c r="B487" s="144"/>
      <c r="C487" s="145"/>
      <c r="D487" s="145"/>
      <c r="E487" s="148"/>
      <c r="F487" s="155"/>
      <c r="G487" s="144"/>
      <c r="H487" s="144"/>
      <c r="I487" s="144"/>
      <c r="J487" s="145"/>
      <c r="K487" s="145"/>
      <c r="L487" s="154"/>
      <c r="M487" s="155"/>
      <c r="N487" s="144"/>
      <c r="O487" s="144"/>
      <c r="P487" s="144"/>
      <c r="Q487" s="145"/>
      <c r="R487" s="145"/>
      <c r="S487" s="154"/>
      <c r="T487" s="155"/>
      <c r="U487" s="144"/>
      <c r="V487" s="144"/>
    </row>
    <row r="488" spans="1:22" ht="14" x14ac:dyDescent="0.15">
      <c r="A488" s="144"/>
      <c r="B488" s="144"/>
      <c r="C488" s="145"/>
      <c r="D488" s="145"/>
      <c r="E488" s="148"/>
      <c r="F488" s="155"/>
      <c r="G488" s="144"/>
      <c r="H488" s="144"/>
      <c r="I488" s="144"/>
      <c r="J488" s="145"/>
      <c r="K488" s="145"/>
      <c r="L488" s="154"/>
      <c r="M488" s="155"/>
      <c r="N488" s="144"/>
      <c r="O488" s="144"/>
      <c r="P488" s="144"/>
      <c r="Q488" s="145"/>
      <c r="R488" s="145"/>
      <c r="S488" s="154"/>
      <c r="T488" s="155"/>
      <c r="U488" s="144"/>
      <c r="V488" s="144"/>
    </row>
    <row r="489" spans="1:22" ht="14" x14ac:dyDescent="0.15">
      <c r="A489" s="144"/>
      <c r="B489" s="144"/>
      <c r="C489" s="145"/>
      <c r="D489" s="145"/>
      <c r="E489" s="148"/>
      <c r="F489" s="155"/>
      <c r="G489" s="144"/>
      <c r="H489" s="144"/>
      <c r="I489" s="144"/>
      <c r="J489" s="145"/>
      <c r="K489" s="145"/>
      <c r="L489" s="154"/>
      <c r="M489" s="155"/>
      <c r="N489" s="144"/>
      <c r="O489" s="144"/>
      <c r="P489" s="144"/>
      <c r="Q489" s="145"/>
      <c r="R489" s="145"/>
      <c r="S489" s="154"/>
      <c r="T489" s="155"/>
      <c r="U489" s="144"/>
      <c r="V489" s="144"/>
    </row>
    <row r="490" spans="1:22" ht="14" x14ac:dyDescent="0.15">
      <c r="A490" s="144"/>
      <c r="B490" s="144"/>
      <c r="C490" s="145"/>
      <c r="D490" s="145"/>
      <c r="E490" s="148"/>
      <c r="F490" s="155"/>
      <c r="G490" s="144"/>
      <c r="H490" s="144"/>
      <c r="I490" s="144"/>
      <c r="J490" s="145"/>
      <c r="K490" s="145"/>
      <c r="L490" s="154"/>
      <c r="M490" s="155"/>
      <c r="N490" s="144"/>
      <c r="O490" s="144"/>
      <c r="P490" s="144"/>
      <c r="Q490" s="145"/>
      <c r="R490" s="145"/>
      <c r="S490" s="154"/>
      <c r="T490" s="155"/>
      <c r="U490" s="144"/>
      <c r="V490" s="144"/>
    </row>
    <row r="491" spans="1:22" ht="14" x14ac:dyDescent="0.15">
      <c r="A491" s="144"/>
      <c r="B491" s="144"/>
      <c r="C491" s="145"/>
      <c r="D491" s="145"/>
      <c r="E491" s="148"/>
      <c r="F491" s="155"/>
      <c r="G491" s="144"/>
      <c r="H491" s="144"/>
      <c r="I491" s="144"/>
      <c r="J491" s="145"/>
      <c r="K491" s="145"/>
      <c r="L491" s="154"/>
      <c r="M491" s="155"/>
      <c r="N491" s="144"/>
      <c r="O491" s="144"/>
      <c r="P491" s="144"/>
      <c r="Q491" s="145"/>
      <c r="R491" s="145"/>
      <c r="S491" s="154"/>
      <c r="T491" s="155"/>
      <c r="U491" s="144"/>
      <c r="V491" s="144"/>
    </row>
    <row r="492" spans="1:22" ht="14" x14ac:dyDescent="0.15">
      <c r="A492" s="144"/>
      <c r="B492" s="144"/>
      <c r="C492" s="145"/>
      <c r="D492" s="145"/>
      <c r="E492" s="148"/>
      <c r="F492" s="155"/>
      <c r="G492" s="144"/>
      <c r="H492" s="144"/>
      <c r="I492" s="144"/>
      <c r="J492" s="145"/>
      <c r="K492" s="145"/>
      <c r="L492" s="154"/>
      <c r="M492" s="155"/>
      <c r="N492" s="144"/>
      <c r="O492" s="144"/>
      <c r="P492" s="144"/>
      <c r="Q492" s="145"/>
      <c r="R492" s="145"/>
      <c r="S492" s="154"/>
      <c r="T492" s="155"/>
      <c r="U492" s="144"/>
      <c r="V492" s="144"/>
    </row>
    <row r="493" spans="1:22" ht="14" x14ac:dyDescent="0.15">
      <c r="A493" s="144"/>
      <c r="B493" s="144"/>
      <c r="C493" s="145"/>
      <c r="D493" s="145"/>
      <c r="E493" s="148"/>
      <c r="F493" s="155"/>
      <c r="G493" s="144"/>
      <c r="H493" s="144"/>
      <c r="I493" s="144"/>
      <c r="J493" s="145"/>
      <c r="K493" s="145"/>
      <c r="L493" s="154"/>
      <c r="M493" s="155"/>
      <c r="N493" s="144"/>
      <c r="O493" s="144"/>
      <c r="P493" s="144"/>
      <c r="Q493" s="145"/>
      <c r="R493" s="145"/>
      <c r="S493" s="154"/>
      <c r="T493" s="155"/>
      <c r="U493" s="144"/>
      <c r="V493" s="144"/>
    </row>
    <row r="494" spans="1:22" ht="14" x14ac:dyDescent="0.15">
      <c r="A494" s="144"/>
      <c r="B494" s="144"/>
      <c r="C494" s="145"/>
      <c r="D494" s="145"/>
      <c r="E494" s="148"/>
      <c r="F494" s="155"/>
      <c r="G494" s="144"/>
      <c r="H494" s="144"/>
      <c r="I494" s="144"/>
      <c r="J494" s="145"/>
      <c r="K494" s="145"/>
      <c r="L494" s="154"/>
      <c r="M494" s="155"/>
      <c r="N494" s="144"/>
      <c r="O494" s="144"/>
      <c r="P494" s="144"/>
      <c r="Q494" s="145"/>
      <c r="R494" s="145"/>
      <c r="S494" s="154"/>
      <c r="T494" s="155"/>
      <c r="U494" s="144"/>
      <c r="V494" s="144"/>
    </row>
    <row r="495" spans="1:22" ht="14" x14ac:dyDescent="0.15">
      <c r="A495" s="144"/>
      <c r="B495" s="144"/>
      <c r="C495" s="145"/>
      <c r="D495" s="145"/>
      <c r="E495" s="148"/>
      <c r="F495" s="155"/>
      <c r="G495" s="144"/>
      <c r="H495" s="144"/>
      <c r="I495" s="144"/>
      <c r="J495" s="145"/>
      <c r="K495" s="145"/>
      <c r="L495" s="154"/>
      <c r="M495" s="155"/>
      <c r="N495" s="144"/>
      <c r="O495" s="144"/>
      <c r="P495" s="144"/>
      <c r="Q495" s="145"/>
      <c r="R495" s="145"/>
      <c r="S495" s="154"/>
      <c r="T495" s="155"/>
      <c r="U495" s="144"/>
      <c r="V495" s="144"/>
    </row>
    <row r="496" spans="1:22" ht="14" x14ac:dyDescent="0.15">
      <c r="A496" s="144"/>
      <c r="B496" s="144"/>
      <c r="C496" s="145"/>
      <c r="D496" s="145"/>
      <c r="E496" s="148"/>
      <c r="F496" s="155"/>
      <c r="G496" s="144"/>
      <c r="H496" s="144"/>
      <c r="I496" s="144"/>
      <c r="J496" s="145"/>
      <c r="K496" s="145"/>
      <c r="L496" s="154"/>
      <c r="M496" s="155"/>
      <c r="N496" s="144"/>
      <c r="O496" s="144"/>
      <c r="P496" s="144"/>
      <c r="Q496" s="145"/>
      <c r="R496" s="145"/>
      <c r="S496" s="154"/>
      <c r="T496" s="155"/>
      <c r="U496" s="144"/>
      <c r="V496" s="144"/>
    </row>
    <row r="497" spans="1:22" ht="14" x14ac:dyDescent="0.15">
      <c r="A497" s="144"/>
      <c r="B497" s="144"/>
      <c r="C497" s="145"/>
      <c r="D497" s="145"/>
      <c r="E497" s="148"/>
      <c r="F497" s="155"/>
      <c r="G497" s="144"/>
      <c r="H497" s="144"/>
      <c r="I497" s="144"/>
      <c r="J497" s="145"/>
      <c r="K497" s="145"/>
      <c r="L497" s="154"/>
      <c r="M497" s="155"/>
      <c r="N497" s="144"/>
      <c r="O497" s="144"/>
      <c r="P497" s="144"/>
      <c r="Q497" s="145"/>
      <c r="R497" s="145"/>
      <c r="S497" s="154"/>
      <c r="T497" s="155"/>
      <c r="U497" s="144"/>
      <c r="V497" s="144"/>
    </row>
    <row r="498" spans="1:22" ht="14" x14ac:dyDescent="0.15">
      <c r="A498" s="144"/>
      <c r="B498" s="144"/>
      <c r="C498" s="145"/>
      <c r="D498" s="145"/>
      <c r="E498" s="148"/>
      <c r="F498" s="155"/>
      <c r="G498" s="144"/>
      <c r="H498" s="144"/>
      <c r="I498" s="144"/>
      <c r="J498" s="145"/>
      <c r="K498" s="145"/>
      <c r="L498" s="154"/>
      <c r="M498" s="155"/>
      <c r="N498" s="144"/>
      <c r="O498" s="144"/>
      <c r="P498" s="144"/>
      <c r="Q498" s="145"/>
      <c r="R498" s="145"/>
      <c r="S498" s="154"/>
      <c r="T498" s="155"/>
      <c r="U498" s="144"/>
      <c r="V498" s="144"/>
    </row>
    <row r="499" spans="1:22" ht="14" x14ac:dyDescent="0.15">
      <c r="A499" s="144"/>
      <c r="B499" s="144"/>
      <c r="C499" s="145"/>
      <c r="D499" s="145"/>
      <c r="E499" s="148"/>
      <c r="F499" s="155"/>
      <c r="G499" s="144"/>
      <c r="H499" s="144"/>
      <c r="I499" s="144"/>
      <c r="J499" s="145"/>
      <c r="K499" s="145"/>
      <c r="L499" s="154"/>
      <c r="M499" s="155"/>
      <c r="N499" s="144"/>
      <c r="O499" s="144"/>
      <c r="P499" s="144"/>
      <c r="Q499" s="145"/>
      <c r="R499" s="145"/>
      <c r="S499" s="154"/>
      <c r="T499" s="155"/>
      <c r="U499" s="144"/>
      <c r="V499" s="144"/>
    </row>
    <row r="500" spans="1:22" ht="14" x14ac:dyDescent="0.15">
      <c r="A500" s="144"/>
      <c r="B500" s="144"/>
      <c r="C500" s="145"/>
      <c r="D500" s="145"/>
      <c r="E500" s="148"/>
      <c r="F500" s="155"/>
      <c r="G500" s="144"/>
      <c r="H500" s="144"/>
      <c r="I500" s="144"/>
      <c r="J500" s="145"/>
      <c r="K500" s="145"/>
      <c r="L500" s="154"/>
      <c r="M500" s="155"/>
      <c r="N500" s="144"/>
      <c r="O500" s="144"/>
      <c r="P500" s="144"/>
      <c r="Q500" s="145"/>
      <c r="R500" s="145"/>
      <c r="S500" s="154"/>
      <c r="T500" s="155"/>
      <c r="U500" s="144"/>
      <c r="V500" s="144"/>
    </row>
    <row r="501" spans="1:22" ht="14" x14ac:dyDescent="0.15">
      <c r="A501" s="144"/>
      <c r="B501" s="144"/>
      <c r="C501" s="145"/>
      <c r="D501" s="145"/>
      <c r="E501" s="148"/>
      <c r="F501" s="155"/>
      <c r="G501" s="144"/>
      <c r="H501" s="144"/>
      <c r="I501" s="144"/>
      <c r="J501" s="145"/>
      <c r="K501" s="145"/>
      <c r="L501" s="154"/>
      <c r="M501" s="155"/>
      <c r="N501" s="144"/>
      <c r="O501" s="144"/>
      <c r="P501" s="144"/>
      <c r="Q501" s="145"/>
      <c r="R501" s="145"/>
      <c r="S501" s="154"/>
      <c r="T501" s="155"/>
      <c r="U501" s="144"/>
      <c r="V501" s="144"/>
    </row>
    <row r="502" spans="1:22" ht="14" x14ac:dyDescent="0.15">
      <c r="A502" s="144"/>
      <c r="B502" s="144"/>
      <c r="C502" s="145"/>
      <c r="D502" s="145"/>
      <c r="E502" s="148"/>
      <c r="F502" s="155"/>
      <c r="G502" s="144"/>
      <c r="H502" s="144"/>
      <c r="I502" s="144"/>
      <c r="J502" s="145"/>
      <c r="K502" s="145"/>
      <c r="L502" s="154"/>
      <c r="M502" s="155"/>
      <c r="N502" s="144"/>
      <c r="O502" s="144"/>
      <c r="P502" s="144"/>
      <c r="Q502" s="145"/>
      <c r="R502" s="145"/>
      <c r="S502" s="154"/>
      <c r="T502" s="155"/>
      <c r="U502" s="144"/>
      <c r="V502" s="144"/>
    </row>
    <row r="503" spans="1:22" ht="14" x14ac:dyDescent="0.15">
      <c r="A503" s="144"/>
      <c r="B503" s="144"/>
      <c r="C503" s="145"/>
      <c r="D503" s="145"/>
      <c r="E503" s="148"/>
      <c r="F503" s="155"/>
      <c r="G503" s="144"/>
      <c r="H503" s="144"/>
      <c r="I503" s="144"/>
      <c r="J503" s="145"/>
      <c r="K503" s="145"/>
      <c r="L503" s="154"/>
      <c r="M503" s="155"/>
      <c r="N503" s="144"/>
      <c r="O503" s="144"/>
      <c r="P503" s="144"/>
      <c r="Q503" s="145"/>
      <c r="R503" s="145"/>
      <c r="S503" s="154"/>
      <c r="T503" s="155"/>
      <c r="U503" s="144"/>
      <c r="V503" s="144"/>
    </row>
    <row r="504" spans="1:22" ht="14" x14ac:dyDescent="0.15">
      <c r="A504" s="144"/>
      <c r="B504" s="144"/>
      <c r="C504" s="145"/>
      <c r="D504" s="145"/>
      <c r="E504" s="148"/>
      <c r="F504" s="155"/>
      <c r="G504" s="144"/>
      <c r="H504" s="144"/>
      <c r="I504" s="144"/>
      <c r="J504" s="145"/>
      <c r="K504" s="145"/>
      <c r="L504" s="154"/>
      <c r="M504" s="155"/>
      <c r="N504" s="144"/>
      <c r="O504" s="144"/>
      <c r="P504" s="144"/>
      <c r="Q504" s="145"/>
      <c r="R504" s="145"/>
      <c r="S504" s="154"/>
      <c r="T504" s="155"/>
      <c r="U504" s="144"/>
      <c r="V504" s="144"/>
    </row>
    <row r="505" spans="1:22" ht="14" x14ac:dyDescent="0.15">
      <c r="A505" s="144"/>
      <c r="B505" s="144"/>
      <c r="C505" s="145"/>
      <c r="D505" s="145"/>
      <c r="E505" s="148"/>
      <c r="F505" s="155"/>
      <c r="G505" s="144"/>
      <c r="H505" s="144"/>
      <c r="I505" s="144"/>
      <c r="J505" s="145"/>
      <c r="K505" s="145"/>
      <c r="L505" s="154"/>
      <c r="M505" s="155"/>
      <c r="N505" s="144"/>
      <c r="O505" s="144"/>
      <c r="P505" s="144"/>
      <c r="Q505" s="145"/>
      <c r="R505" s="145"/>
      <c r="S505" s="154"/>
      <c r="T505" s="155"/>
      <c r="U505" s="144"/>
      <c r="V505" s="144"/>
    </row>
    <row r="506" spans="1:22" ht="14" x14ac:dyDescent="0.15">
      <c r="A506" s="144"/>
      <c r="B506" s="144"/>
      <c r="C506" s="145"/>
      <c r="D506" s="145"/>
      <c r="E506" s="148"/>
      <c r="F506" s="155"/>
      <c r="G506" s="144"/>
      <c r="H506" s="144"/>
      <c r="I506" s="144"/>
      <c r="J506" s="145"/>
      <c r="K506" s="145"/>
      <c r="L506" s="154"/>
      <c r="M506" s="155"/>
      <c r="N506" s="144"/>
      <c r="O506" s="144"/>
      <c r="P506" s="144"/>
      <c r="Q506" s="145"/>
      <c r="R506" s="145"/>
      <c r="S506" s="154"/>
      <c r="T506" s="155"/>
      <c r="U506" s="144"/>
      <c r="V506" s="144"/>
    </row>
    <row r="507" spans="1:22" ht="14" x14ac:dyDescent="0.15">
      <c r="A507" s="144"/>
      <c r="B507" s="144"/>
      <c r="C507" s="145"/>
      <c r="D507" s="145"/>
      <c r="E507" s="148"/>
      <c r="F507" s="155"/>
      <c r="G507" s="144"/>
      <c r="H507" s="144"/>
      <c r="I507" s="144"/>
      <c r="J507" s="145"/>
      <c r="K507" s="145"/>
      <c r="L507" s="154"/>
      <c r="M507" s="155"/>
      <c r="N507" s="144"/>
      <c r="O507" s="144"/>
      <c r="P507" s="144"/>
      <c r="Q507" s="145"/>
      <c r="R507" s="145"/>
      <c r="S507" s="154"/>
      <c r="T507" s="155"/>
      <c r="U507" s="144"/>
      <c r="V507" s="144"/>
    </row>
    <row r="508" spans="1:22" ht="14" x14ac:dyDescent="0.15">
      <c r="A508" s="144"/>
      <c r="B508" s="144"/>
      <c r="C508" s="145"/>
      <c r="D508" s="145"/>
      <c r="E508" s="148"/>
      <c r="F508" s="155"/>
      <c r="G508" s="144"/>
      <c r="H508" s="144"/>
      <c r="I508" s="144"/>
      <c r="J508" s="145"/>
      <c r="K508" s="145"/>
      <c r="L508" s="154"/>
      <c r="M508" s="155"/>
      <c r="N508" s="144"/>
      <c r="O508" s="144"/>
      <c r="P508" s="144"/>
      <c r="Q508" s="145"/>
      <c r="R508" s="145"/>
      <c r="S508" s="154"/>
      <c r="T508" s="155"/>
      <c r="U508" s="144"/>
      <c r="V508" s="144"/>
    </row>
    <row r="509" spans="1:22" ht="14" x14ac:dyDescent="0.15">
      <c r="A509" s="144"/>
      <c r="B509" s="144"/>
      <c r="C509" s="145"/>
      <c r="D509" s="145"/>
      <c r="E509" s="148"/>
      <c r="F509" s="155"/>
      <c r="G509" s="144"/>
      <c r="H509" s="144"/>
      <c r="I509" s="144"/>
      <c r="J509" s="145"/>
      <c r="K509" s="145"/>
      <c r="L509" s="154"/>
      <c r="M509" s="155"/>
      <c r="N509" s="144"/>
      <c r="O509" s="144"/>
      <c r="P509" s="144"/>
      <c r="Q509" s="145"/>
      <c r="R509" s="145"/>
      <c r="S509" s="154"/>
      <c r="T509" s="155"/>
      <c r="U509" s="144"/>
      <c r="V509" s="144"/>
    </row>
    <row r="510" spans="1:22" ht="14" x14ac:dyDescent="0.15">
      <c r="A510" s="144"/>
      <c r="B510" s="144"/>
      <c r="C510" s="145"/>
      <c r="D510" s="145"/>
      <c r="E510" s="148"/>
      <c r="F510" s="155"/>
      <c r="G510" s="144"/>
      <c r="H510" s="144"/>
      <c r="I510" s="144"/>
      <c r="J510" s="145"/>
      <c r="K510" s="145"/>
      <c r="L510" s="154"/>
      <c r="M510" s="155"/>
      <c r="N510" s="144"/>
      <c r="O510" s="144"/>
      <c r="P510" s="144"/>
      <c r="Q510" s="145"/>
      <c r="R510" s="145"/>
      <c r="S510" s="154"/>
      <c r="T510" s="155"/>
      <c r="U510" s="144"/>
      <c r="V510" s="144"/>
    </row>
    <row r="511" spans="1:22" ht="14" x14ac:dyDescent="0.15">
      <c r="A511" s="144"/>
      <c r="B511" s="144"/>
      <c r="C511" s="145"/>
      <c r="D511" s="145"/>
      <c r="E511" s="148"/>
      <c r="F511" s="155"/>
      <c r="G511" s="144"/>
      <c r="H511" s="144"/>
      <c r="I511" s="144"/>
      <c r="J511" s="145"/>
      <c r="K511" s="145"/>
      <c r="L511" s="154"/>
      <c r="M511" s="155"/>
      <c r="N511" s="144"/>
      <c r="O511" s="144"/>
      <c r="P511" s="144"/>
      <c r="Q511" s="145"/>
      <c r="R511" s="145"/>
      <c r="S511" s="154"/>
      <c r="T511" s="155"/>
      <c r="U511" s="144"/>
      <c r="V511" s="144"/>
    </row>
    <row r="512" spans="1:22" ht="14" x14ac:dyDescent="0.15">
      <c r="A512" s="144"/>
      <c r="B512" s="144"/>
      <c r="C512" s="145"/>
      <c r="D512" s="145"/>
      <c r="E512" s="148"/>
      <c r="F512" s="155"/>
      <c r="G512" s="144"/>
      <c r="H512" s="144"/>
      <c r="I512" s="144"/>
      <c r="J512" s="145"/>
      <c r="K512" s="145"/>
      <c r="L512" s="154"/>
      <c r="M512" s="155"/>
      <c r="N512" s="144"/>
      <c r="O512" s="144"/>
      <c r="P512" s="144"/>
      <c r="Q512" s="145"/>
      <c r="R512" s="145"/>
      <c r="S512" s="154"/>
      <c r="T512" s="155"/>
      <c r="U512" s="144"/>
      <c r="V512" s="144"/>
    </row>
    <row r="513" spans="1:22" ht="14" x14ac:dyDescent="0.15">
      <c r="A513" s="144"/>
      <c r="B513" s="144"/>
      <c r="C513" s="145"/>
      <c r="D513" s="145"/>
      <c r="E513" s="148"/>
      <c r="F513" s="155"/>
      <c r="G513" s="144"/>
      <c r="H513" s="144"/>
      <c r="I513" s="144"/>
      <c r="J513" s="145"/>
      <c r="K513" s="145"/>
      <c r="L513" s="154"/>
      <c r="M513" s="155"/>
      <c r="N513" s="144"/>
      <c r="O513" s="144"/>
      <c r="P513" s="144"/>
      <c r="Q513" s="145"/>
      <c r="R513" s="145"/>
      <c r="S513" s="154"/>
      <c r="T513" s="155"/>
      <c r="U513" s="144"/>
      <c r="V513" s="144"/>
    </row>
    <row r="514" spans="1:22" ht="14" x14ac:dyDescent="0.15">
      <c r="A514" s="144"/>
      <c r="B514" s="144"/>
      <c r="C514" s="145"/>
      <c r="D514" s="145"/>
      <c r="E514" s="148"/>
      <c r="F514" s="155"/>
      <c r="G514" s="144"/>
      <c r="H514" s="144"/>
      <c r="I514" s="144"/>
      <c r="J514" s="145"/>
      <c r="K514" s="145"/>
      <c r="L514" s="154"/>
      <c r="M514" s="155"/>
      <c r="N514" s="144"/>
      <c r="O514" s="144"/>
      <c r="P514" s="144"/>
      <c r="Q514" s="145"/>
      <c r="R514" s="145"/>
      <c r="S514" s="154"/>
      <c r="T514" s="155"/>
      <c r="U514" s="144"/>
      <c r="V514" s="144"/>
    </row>
    <row r="515" spans="1:22" ht="14" x14ac:dyDescent="0.15">
      <c r="A515" s="144"/>
      <c r="B515" s="144"/>
      <c r="C515" s="145"/>
      <c r="D515" s="145"/>
      <c r="E515" s="148"/>
      <c r="F515" s="155"/>
      <c r="G515" s="144"/>
      <c r="H515" s="144"/>
      <c r="I515" s="144"/>
      <c r="J515" s="145"/>
      <c r="K515" s="145"/>
      <c r="L515" s="154"/>
      <c r="M515" s="155"/>
      <c r="N515" s="144"/>
      <c r="O515" s="144"/>
      <c r="P515" s="144"/>
      <c r="Q515" s="145"/>
      <c r="R515" s="145"/>
      <c r="S515" s="154"/>
      <c r="T515" s="155"/>
      <c r="U515" s="144"/>
      <c r="V515" s="144"/>
    </row>
    <row r="516" spans="1:22" ht="14" x14ac:dyDescent="0.15">
      <c r="A516" s="144"/>
      <c r="B516" s="144"/>
      <c r="C516" s="145"/>
      <c r="D516" s="145"/>
      <c r="E516" s="148"/>
      <c r="F516" s="155"/>
      <c r="G516" s="144"/>
      <c r="H516" s="144"/>
      <c r="I516" s="144"/>
      <c r="J516" s="145"/>
      <c r="K516" s="145"/>
      <c r="L516" s="154"/>
      <c r="M516" s="155"/>
      <c r="N516" s="144"/>
      <c r="O516" s="144"/>
      <c r="P516" s="144"/>
      <c r="Q516" s="145"/>
      <c r="R516" s="145"/>
      <c r="S516" s="154"/>
      <c r="T516" s="155"/>
      <c r="U516" s="144"/>
      <c r="V516" s="144"/>
    </row>
    <row r="517" spans="1:22" ht="14" x14ac:dyDescent="0.15">
      <c r="A517" s="144"/>
      <c r="B517" s="144"/>
      <c r="C517" s="145"/>
      <c r="D517" s="145"/>
      <c r="E517" s="148"/>
      <c r="F517" s="155"/>
      <c r="G517" s="144"/>
      <c r="H517" s="144"/>
      <c r="I517" s="144"/>
      <c r="J517" s="145"/>
      <c r="K517" s="145"/>
      <c r="L517" s="154"/>
      <c r="M517" s="155"/>
      <c r="N517" s="144"/>
      <c r="O517" s="144"/>
      <c r="P517" s="144"/>
      <c r="Q517" s="145"/>
      <c r="R517" s="145"/>
      <c r="S517" s="154"/>
      <c r="T517" s="155"/>
      <c r="U517" s="144"/>
      <c r="V517" s="144"/>
    </row>
    <row r="518" spans="1:22" ht="14" x14ac:dyDescent="0.15">
      <c r="A518" s="144"/>
      <c r="B518" s="144"/>
      <c r="C518" s="145"/>
      <c r="D518" s="145"/>
      <c r="E518" s="148"/>
      <c r="F518" s="155"/>
      <c r="G518" s="144"/>
      <c r="H518" s="144"/>
      <c r="I518" s="144"/>
      <c r="J518" s="145"/>
      <c r="K518" s="145"/>
      <c r="L518" s="154"/>
      <c r="M518" s="155"/>
      <c r="N518" s="144"/>
      <c r="O518" s="144"/>
      <c r="P518" s="144"/>
      <c r="Q518" s="145"/>
      <c r="R518" s="145"/>
      <c r="S518" s="154"/>
      <c r="T518" s="155"/>
      <c r="U518" s="144"/>
      <c r="V518" s="144"/>
    </row>
    <row r="519" spans="1:22" ht="14" x14ac:dyDescent="0.15">
      <c r="A519" s="144"/>
      <c r="B519" s="144"/>
      <c r="C519" s="145"/>
      <c r="D519" s="145"/>
      <c r="E519" s="148"/>
      <c r="F519" s="155"/>
      <c r="G519" s="144"/>
      <c r="H519" s="144"/>
      <c r="I519" s="144"/>
      <c r="J519" s="145"/>
      <c r="K519" s="145"/>
      <c r="L519" s="154"/>
      <c r="M519" s="155"/>
      <c r="N519" s="144"/>
      <c r="O519" s="144"/>
      <c r="P519" s="144"/>
      <c r="Q519" s="145"/>
      <c r="R519" s="145"/>
      <c r="S519" s="154"/>
      <c r="T519" s="155"/>
      <c r="U519" s="144"/>
      <c r="V519" s="144"/>
    </row>
    <row r="520" spans="1:22" ht="14" x14ac:dyDescent="0.15">
      <c r="A520" s="144"/>
      <c r="B520" s="144"/>
      <c r="C520" s="145"/>
      <c r="D520" s="145"/>
      <c r="E520" s="148"/>
      <c r="F520" s="155"/>
      <c r="G520" s="144"/>
      <c r="H520" s="144"/>
      <c r="I520" s="144"/>
      <c r="J520" s="145"/>
      <c r="K520" s="145"/>
      <c r="L520" s="154"/>
      <c r="M520" s="155"/>
      <c r="N520" s="144"/>
      <c r="O520" s="144"/>
      <c r="P520" s="144"/>
      <c r="Q520" s="145"/>
      <c r="R520" s="145"/>
      <c r="S520" s="154"/>
      <c r="T520" s="155"/>
      <c r="U520" s="144"/>
      <c r="V520" s="144"/>
    </row>
    <row r="521" spans="1:22" ht="14" x14ac:dyDescent="0.15">
      <c r="A521" s="144"/>
      <c r="B521" s="144"/>
      <c r="C521" s="145"/>
      <c r="D521" s="145"/>
      <c r="E521" s="148"/>
      <c r="F521" s="155"/>
      <c r="G521" s="144"/>
      <c r="H521" s="144"/>
      <c r="I521" s="144"/>
      <c r="J521" s="145"/>
      <c r="K521" s="145"/>
      <c r="L521" s="154"/>
      <c r="M521" s="155"/>
      <c r="N521" s="144"/>
      <c r="O521" s="144"/>
      <c r="P521" s="144"/>
      <c r="Q521" s="145"/>
      <c r="R521" s="145"/>
      <c r="S521" s="154"/>
      <c r="T521" s="155"/>
      <c r="U521" s="144"/>
      <c r="V521" s="144"/>
    </row>
    <row r="522" spans="1:22" ht="14" x14ac:dyDescent="0.15">
      <c r="A522" s="144"/>
      <c r="B522" s="144"/>
      <c r="C522" s="145"/>
      <c r="D522" s="145"/>
      <c r="E522" s="148"/>
      <c r="F522" s="155"/>
      <c r="G522" s="144"/>
      <c r="H522" s="144"/>
      <c r="I522" s="144"/>
      <c r="J522" s="145"/>
      <c r="K522" s="145"/>
      <c r="L522" s="154"/>
      <c r="M522" s="155"/>
      <c r="N522" s="144"/>
      <c r="O522" s="144"/>
      <c r="P522" s="144"/>
      <c r="Q522" s="145"/>
      <c r="R522" s="145"/>
      <c r="S522" s="154"/>
      <c r="T522" s="155"/>
      <c r="U522" s="144"/>
      <c r="V522" s="144"/>
    </row>
    <row r="523" spans="1:22" ht="14" x14ac:dyDescent="0.15">
      <c r="A523" s="144"/>
      <c r="B523" s="144"/>
      <c r="C523" s="145"/>
      <c r="D523" s="145"/>
      <c r="E523" s="148"/>
      <c r="F523" s="155"/>
      <c r="G523" s="144"/>
      <c r="H523" s="144"/>
      <c r="I523" s="144"/>
      <c r="J523" s="145"/>
      <c r="K523" s="145"/>
      <c r="L523" s="154"/>
      <c r="M523" s="155"/>
      <c r="N523" s="144"/>
      <c r="O523" s="144"/>
      <c r="P523" s="144"/>
      <c r="Q523" s="145"/>
      <c r="R523" s="145"/>
      <c r="S523" s="154"/>
      <c r="T523" s="155"/>
      <c r="U523" s="144"/>
      <c r="V523" s="144"/>
    </row>
    <row r="524" spans="1:22" ht="14" x14ac:dyDescent="0.15">
      <c r="A524" s="144"/>
      <c r="B524" s="144"/>
      <c r="C524" s="145"/>
      <c r="D524" s="145"/>
      <c r="E524" s="148"/>
      <c r="F524" s="155"/>
      <c r="G524" s="144"/>
      <c r="H524" s="144"/>
      <c r="I524" s="144"/>
      <c r="J524" s="145"/>
      <c r="K524" s="145"/>
      <c r="L524" s="154"/>
      <c r="M524" s="155"/>
      <c r="N524" s="144"/>
      <c r="O524" s="144"/>
      <c r="P524" s="144"/>
      <c r="Q524" s="145"/>
      <c r="R524" s="145"/>
      <c r="S524" s="154"/>
      <c r="T524" s="155"/>
      <c r="U524" s="144"/>
      <c r="V524" s="144"/>
    </row>
    <row r="525" spans="1:22" ht="14" x14ac:dyDescent="0.15">
      <c r="A525" s="144"/>
      <c r="B525" s="144"/>
      <c r="C525" s="145"/>
      <c r="D525" s="145"/>
      <c r="E525" s="148"/>
      <c r="F525" s="155"/>
      <c r="G525" s="144"/>
      <c r="H525" s="144"/>
      <c r="I525" s="144"/>
      <c r="J525" s="145"/>
      <c r="K525" s="145"/>
      <c r="L525" s="154"/>
      <c r="M525" s="155"/>
      <c r="N525" s="144"/>
      <c r="O525" s="144"/>
      <c r="P525" s="144"/>
      <c r="Q525" s="145"/>
      <c r="R525" s="145"/>
      <c r="S525" s="154"/>
      <c r="T525" s="155"/>
      <c r="U525" s="144"/>
      <c r="V525" s="144"/>
    </row>
    <row r="526" spans="1:22" ht="14" x14ac:dyDescent="0.15">
      <c r="A526" s="144"/>
      <c r="B526" s="144"/>
      <c r="C526" s="145"/>
      <c r="D526" s="145"/>
      <c r="E526" s="148"/>
      <c r="F526" s="155"/>
      <c r="G526" s="144"/>
      <c r="H526" s="144"/>
      <c r="I526" s="144"/>
      <c r="J526" s="145"/>
      <c r="K526" s="145"/>
      <c r="L526" s="154"/>
      <c r="M526" s="155"/>
      <c r="N526" s="144"/>
      <c r="O526" s="144"/>
      <c r="P526" s="144"/>
      <c r="Q526" s="145"/>
      <c r="R526" s="145"/>
      <c r="S526" s="154"/>
      <c r="T526" s="155"/>
      <c r="U526" s="144"/>
      <c r="V526" s="144"/>
    </row>
    <row r="527" spans="1:22" ht="14" x14ac:dyDescent="0.15">
      <c r="A527" s="144"/>
      <c r="B527" s="144"/>
      <c r="C527" s="145"/>
      <c r="D527" s="145"/>
      <c r="E527" s="148"/>
      <c r="F527" s="155"/>
      <c r="G527" s="144"/>
      <c r="H527" s="144"/>
      <c r="I527" s="144"/>
      <c r="J527" s="145"/>
      <c r="K527" s="145"/>
      <c r="L527" s="154"/>
      <c r="M527" s="155"/>
      <c r="N527" s="144"/>
      <c r="O527" s="144"/>
      <c r="P527" s="144"/>
      <c r="Q527" s="145"/>
      <c r="R527" s="145"/>
      <c r="S527" s="154"/>
      <c r="T527" s="155"/>
      <c r="U527" s="144"/>
      <c r="V527" s="144"/>
    </row>
    <row r="528" spans="1:22" ht="14" x14ac:dyDescent="0.15">
      <c r="A528" s="144"/>
      <c r="B528" s="144"/>
      <c r="C528" s="145"/>
      <c r="D528" s="145"/>
      <c r="E528" s="148"/>
      <c r="F528" s="155"/>
      <c r="G528" s="144"/>
      <c r="H528" s="144"/>
      <c r="I528" s="144"/>
      <c r="J528" s="145"/>
      <c r="K528" s="145"/>
      <c r="L528" s="154"/>
      <c r="M528" s="155"/>
      <c r="N528" s="144"/>
      <c r="O528" s="144"/>
      <c r="P528" s="144"/>
      <c r="Q528" s="145"/>
      <c r="R528" s="145"/>
      <c r="S528" s="154"/>
      <c r="T528" s="155"/>
      <c r="U528" s="144"/>
      <c r="V528" s="144"/>
    </row>
    <row r="529" spans="1:22" ht="14" x14ac:dyDescent="0.15">
      <c r="A529" s="144"/>
      <c r="B529" s="144"/>
      <c r="C529" s="145"/>
      <c r="D529" s="145"/>
      <c r="E529" s="148"/>
      <c r="F529" s="155"/>
      <c r="G529" s="144"/>
      <c r="H529" s="144"/>
      <c r="I529" s="144"/>
      <c r="J529" s="145"/>
      <c r="K529" s="145"/>
      <c r="L529" s="154"/>
      <c r="M529" s="155"/>
      <c r="N529" s="144"/>
      <c r="O529" s="144"/>
      <c r="P529" s="144"/>
      <c r="Q529" s="145"/>
      <c r="R529" s="145"/>
      <c r="S529" s="154"/>
      <c r="T529" s="155"/>
      <c r="U529" s="144"/>
      <c r="V529" s="144"/>
    </row>
    <row r="530" spans="1:22" ht="14" x14ac:dyDescent="0.15">
      <c r="A530" s="144"/>
      <c r="B530" s="144"/>
      <c r="C530" s="145"/>
      <c r="D530" s="145"/>
      <c r="E530" s="148"/>
      <c r="F530" s="155"/>
      <c r="G530" s="144"/>
      <c r="H530" s="144"/>
      <c r="I530" s="144"/>
      <c r="J530" s="145"/>
      <c r="K530" s="145"/>
      <c r="L530" s="154"/>
      <c r="M530" s="155"/>
      <c r="N530" s="144"/>
      <c r="O530" s="144"/>
      <c r="P530" s="144"/>
      <c r="Q530" s="145"/>
      <c r="R530" s="145"/>
      <c r="S530" s="154"/>
      <c r="T530" s="155"/>
      <c r="U530" s="144"/>
      <c r="V530" s="144"/>
    </row>
    <row r="531" spans="1:22" ht="14" x14ac:dyDescent="0.15">
      <c r="A531" s="144"/>
      <c r="B531" s="144"/>
      <c r="C531" s="145"/>
      <c r="D531" s="145"/>
      <c r="E531" s="148"/>
      <c r="F531" s="155"/>
      <c r="G531" s="144"/>
      <c r="H531" s="144"/>
      <c r="I531" s="144"/>
      <c r="J531" s="145"/>
      <c r="K531" s="145"/>
      <c r="L531" s="154"/>
      <c r="M531" s="155"/>
      <c r="N531" s="144"/>
      <c r="O531" s="144"/>
      <c r="P531" s="144"/>
      <c r="Q531" s="145"/>
      <c r="R531" s="145"/>
      <c r="S531" s="154"/>
      <c r="T531" s="155"/>
      <c r="U531" s="144"/>
      <c r="V531" s="144"/>
    </row>
    <row r="532" spans="1:22" ht="14" x14ac:dyDescent="0.15">
      <c r="A532" s="144"/>
      <c r="B532" s="144"/>
      <c r="C532" s="145"/>
      <c r="D532" s="145"/>
      <c r="E532" s="148"/>
      <c r="F532" s="155"/>
      <c r="G532" s="144"/>
      <c r="H532" s="144"/>
      <c r="I532" s="144"/>
      <c r="J532" s="145"/>
      <c r="K532" s="145"/>
      <c r="L532" s="154"/>
      <c r="M532" s="155"/>
      <c r="N532" s="144"/>
      <c r="O532" s="144"/>
      <c r="P532" s="144"/>
      <c r="Q532" s="145"/>
      <c r="R532" s="145"/>
      <c r="S532" s="154"/>
      <c r="T532" s="155"/>
      <c r="U532" s="144"/>
      <c r="V532" s="144"/>
    </row>
    <row r="533" spans="1:22" ht="14" x14ac:dyDescent="0.15">
      <c r="A533" s="144"/>
      <c r="B533" s="144"/>
      <c r="C533" s="145"/>
      <c r="D533" s="145"/>
      <c r="E533" s="148"/>
      <c r="F533" s="155"/>
      <c r="G533" s="144"/>
      <c r="H533" s="144"/>
      <c r="I533" s="144"/>
      <c r="J533" s="145"/>
      <c r="K533" s="145"/>
      <c r="L533" s="154"/>
      <c r="M533" s="155"/>
      <c r="N533" s="144"/>
      <c r="O533" s="144"/>
      <c r="P533" s="144"/>
      <c r="Q533" s="145"/>
      <c r="R533" s="145"/>
      <c r="S533" s="154"/>
      <c r="T533" s="155"/>
      <c r="U533" s="144"/>
      <c r="V533" s="144"/>
    </row>
    <row r="534" spans="1:22" ht="14" x14ac:dyDescent="0.15">
      <c r="A534" s="144"/>
      <c r="B534" s="144"/>
      <c r="C534" s="145"/>
      <c r="D534" s="145"/>
      <c r="E534" s="148"/>
      <c r="F534" s="155"/>
      <c r="G534" s="144"/>
      <c r="H534" s="144"/>
      <c r="I534" s="144"/>
      <c r="J534" s="145"/>
      <c r="K534" s="145"/>
      <c r="L534" s="154"/>
      <c r="M534" s="155"/>
      <c r="N534" s="144"/>
      <c r="O534" s="144"/>
      <c r="P534" s="144"/>
      <c r="Q534" s="145"/>
      <c r="R534" s="145"/>
      <c r="S534" s="154"/>
      <c r="T534" s="155"/>
      <c r="U534" s="144"/>
      <c r="V534" s="144"/>
    </row>
    <row r="535" spans="1:22" ht="14" x14ac:dyDescent="0.15">
      <c r="A535" s="144"/>
      <c r="B535" s="144"/>
      <c r="C535" s="145"/>
      <c r="D535" s="145"/>
      <c r="E535" s="148"/>
      <c r="F535" s="155"/>
      <c r="G535" s="144"/>
      <c r="H535" s="144"/>
      <c r="I535" s="144"/>
      <c r="J535" s="145"/>
      <c r="K535" s="145"/>
      <c r="L535" s="154"/>
      <c r="M535" s="155"/>
      <c r="N535" s="144"/>
      <c r="O535" s="144"/>
      <c r="P535" s="144"/>
      <c r="Q535" s="145"/>
      <c r="R535" s="145"/>
      <c r="S535" s="154"/>
      <c r="T535" s="155"/>
      <c r="U535" s="144"/>
      <c r="V535" s="144"/>
    </row>
    <row r="536" spans="1:22" ht="14" x14ac:dyDescent="0.15">
      <c r="A536" s="144"/>
      <c r="B536" s="144"/>
      <c r="C536" s="145"/>
      <c r="D536" s="145"/>
      <c r="E536" s="148"/>
      <c r="F536" s="155"/>
      <c r="G536" s="144"/>
      <c r="H536" s="144"/>
      <c r="I536" s="144"/>
      <c r="J536" s="145"/>
      <c r="K536" s="145"/>
      <c r="L536" s="154"/>
      <c r="M536" s="155"/>
      <c r="N536" s="144"/>
      <c r="O536" s="144"/>
      <c r="P536" s="144"/>
      <c r="Q536" s="145"/>
      <c r="R536" s="145"/>
      <c r="S536" s="154"/>
      <c r="T536" s="155"/>
      <c r="U536" s="144"/>
      <c r="V536" s="144"/>
    </row>
    <row r="537" spans="1:22" ht="14" x14ac:dyDescent="0.15">
      <c r="A537" s="144"/>
      <c r="B537" s="144"/>
      <c r="C537" s="145"/>
      <c r="D537" s="145"/>
      <c r="E537" s="148"/>
      <c r="F537" s="155"/>
      <c r="G537" s="144"/>
      <c r="H537" s="144"/>
      <c r="I537" s="144"/>
      <c r="J537" s="145"/>
      <c r="K537" s="145"/>
      <c r="L537" s="154"/>
      <c r="M537" s="155"/>
      <c r="N537" s="144"/>
      <c r="O537" s="144"/>
      <c r="P537" s="144"/>
      <c r="Q537" s="145"/>
      <c r="R537" s="145"/>
      <c r="S537" s="154"/>
      <c r="T537" s="155"/>
      <c r="U537" s="144"/>
      <c r="V537" s="144"/>
    </row>
    <row r="538" spans="1:22" ht="14" x14ac:dyDescent="0.15">
      <c r="A538" s="144"/>
      <c r="B538" s="144"/>
      <c r="C538" s="145"/>
      <c r="D538" s="145"/>
      <c r="E538" s="148"/>
      <c r="F538" s="155"/>
      <c r="G538" s="144"/>
      <c r="H538" s="144"/>
      <c r="I538" s="144"/>
      <c r="J538" s="145"/>
      <c r="K538" s="145"/>
      <c r="L538" s="154"/>
      <c r="M538" s="155"/>
      <c r="N538" s="144"/>
      <c r="O538" s="144"/>
      <c r="P538" s="144"/>
      <c r="Q538" s="145"/>
      <c r="R538" s="145"/>
      <c r="S538" s="154"/>
      <c r="T538" s="155"/>
      <c r="U538" s="144"/>
      <c r="V538" s="144"/>
    </row>
    <row r="539" spans="1:22" ht="14" x14ac:dyDescent="0.15">
      <c r="A539" s="144"/>
      <c r="B539" s="144"/>
      <c r="C539" s="145"/>
      <c r="D539" s="145"/>
      <c r="E539" s="148"/>
      <c r="F539" s="155"/>
      <c r="G539" s="144"/>
      <c r="H539" s="144"/>
      <c r="I539" s="144"/>
      <c r="J539" s="145"/>
      <c r="K539" s="145"/>
      <c r="L539" s="154"/>
      <c r="M539" s="155"/>
      <c r="N539" s="144"/>
      <c r="O539" s="144"/>
      <c r="P539" s="144"/>
      <c r="Q539" s="145"/>
      <c r="R539" s="145"/>
      <c r="S539" s="154"/>
      <c r="T539" s="155"/>
      <c r="U539" s="144"/>
      <c r="V539" s="144"/>
    </row>
    <row r="540" spans="1:22" ht="14" x14ac:dyDescent="0.15">
      <c r="A540" s="144"/>
      <c r="B540" s="144"/>
      <c r="C540" s="145"/>
      <c r="D540" s="145"/>
      <c r="E540" s="148"/>
      <c r="F540" s="155"/>
      <c r="G540" s="144"/>
      <c r="H540" s="144"/>
      <c r="I540" s="144"/>
      <c r="J540" s="145"/>
      <c r="K540" s="145"/>
      <c r="L540" s="154"/>
      <c r="M540" s="155"/>
      <c r="N540" s="144"/>
      <c r="O540" s="144"/>
      <c r="P540" s="144"/>
      <c r="Q540" s="145"/>
      <c r="R540" s="145"/>
      <c r="S540" s="154"/>
      <c r="T540" s="155"/>
      <c r="U540" s="144"/>
      <c r="V540" s="144"/>
    </row>
    <row r="541" spans="1:22" ht="14" x14ac:dyDescent="0.15">
      <c r="A541" s="144"/>
      <c r="B541" s="144"/>
      <c r="C541" s="145"/>
      <c r="D541" s="145"/>
      <c r="E541" s="148"/>
      <c r="F541" s="155"/>
      <c r="G541" s="144"/>
      <c r="H541" s="144"/>
      <c r="I541" s="144"/>
      <c r="J541" s="145"/>
      <c r="K541" s="145"/>
      <c r="L541" s="154"/>
      <c r="M541" s="155"/>
      <c r="N541" s="144"/>
      <c r="O541" s="144"/>
      <c r="P541" s="144"/>
      <c r="Q541" s="145"/>
      <c r="R541" s="145"/>
      <c r="S541" s="154"/>
      <c r="T541" s="155"/>
      <c r="U541" s="144"/>
      <c r="V541" s="144"/>
    </row>
    <row r="542" spans="1:22" ht="14" x14ac:dyDescent="0.15">
      <c r="A542" s="144"/>
      <c r="B542" s="144"/>
      <c r="C542" s="145"/>
      <c r="D542" s="145"/>
      <c r="E542" s="148"/>
      <c r="F542" s="155"/>
      <c r="G542" s="144"/>
      <c r="H542" s="144"/>
      <c r="I542" s="144"/>
      <c r="J542" s="145"/>
      <c r="K542" s="145"/>
      <c r="L542" s="154"/>
      <c r="M542" s="155"/>
      <c r="N542" s="144"/>
      <c r="O542" s="144"/>
      <c r="P542" s="144"/>
      <c r="Q542" s="145"/>
      <c r="R542" s="145"/>
      <c r="S542" s="154"/>
      <c r="T542" s="155"/>
      <c r="U542" s="144"/>
      <c r="V542" s="144"/>
    </row>
    <row r="543" spans="1:22" ht="14" x14ac:dyDescent="0.15">
      <c r="A543" s="144"/>
      <c r="B543" s="144"/>
      <c r="C543" s="145"/>
      <c r="D543" s="145"/>
      <c r="E543" s="148"/>
      <c r="F543" s="155"/>
      <c r="G543" s="144"/>
      <c r="H543" s="144"/>
      <c r="I543" s="144"/>
      <c r="J543" s="145"/>
      <c r="K543" s="145"/>
      <c r="L543" s="154"/>
      <c r="M543" s="155"/>
      <c r="N543" s="144"/>
      <c r="O543" s="144"/>
      <c r="P543" s="144"/>
      <c r="Q543" s="145"/>
      <c r="R543" s="145"/>
      <c r="S543" s="154"/>
      <c r="T543" s="155"/>
      <c r="U543" s="144"/>
      <c r="V543" s="144"/>
    </row>
    <row r="544" spans="1:22" ht="14" x14ac:dyDescent="0.15">
      <c r="A544" s="144"/>
      <c r="B544" s="144"/>
      <c r="C544" s="145"/>
      <c r="D544" s="145"/>
      <c r="E544" s="148"/>
      <c r="F544" s="155"/>
      <c r="G544" s="144"/>
      <c r="H544" s="144"/>
      <c r="I544" s="144"/>
      <c r="J544" s="145"/>
      <c r="K544" s="145"/>
      <c r="L544" s="154"/>
      <c r="M544" s="155"/>
      <c r="N544" s="144"/>
      <c r="O544" s="144"/>
      <c r="P544" s="144"/>
      <c r="Q544" s="145"/>
      <c r="R544" s="145"/>
      <c r="S544" s="154"/>
      <c r="T544" s="155"/>
      <c r="U544" s="144"/>
      <c r="V544" s="144"/>
    </row>
    <row r="545" spans="1:22" ht="14" x14ac:dyDescent="0.15">
      <c r="A545" s="144"/>
      <c r="B545" s="144"/>
      <c r="C545" s="145"/>
      <c r="D545" s="145"/>
      <c r="E545" s="148"/>
      <c r="F545" s="155"/>
      <c r="G545" s="144"/>
      <c r="H545" s="144"/>
      <c r="I545" s="144"/>
      <c r="J545" s="145"/>
      <c r="K545" s="145"/>
      <c r="L545" s="154"/>
      <c r="M545" s="155"/>
      <c r="N545" s="144"/>
      <c r="O545" s="144"/>
      <c r="P545" s="144"/>
      <c r="Q545" s="145"/>
      <c r="R545" s="145"/>
      <c r="S545" s="154"/>
      <c r="T545" s="155"/>
      <c r="U545" s="144"/>
      <c r="V545" s="144"/>
    </row>
    <row r="546" spans="1:22" ht="14" x14ac:dyDescent="0.15">
      <c r="A546" s="144"/>
      <c r="B546" s="144"/>
      <c r="C546" s="145"/>
      <c r="D546" s="145"/>
      <c r="E546" s="148"/>
      <c r="F546" s="155"/>
      <c r="G546" s="144"/>
      <c r="H546" s="144"/>
      <c r="I546" s="144"/>
      <c r="J546" s="145"/>
      <c r="K546" s="145"/>
      <c r="L546" s="154"/>
      <c r="M546" s="155"/>
      <c r="N546" s="144"/>
      <c r="O546" s="144"/>
      <c r="P546" s="144"/>
      <c r="Q546" s="145"/>
      <c r="R546" s="145"/>
      <c r="S546" s="154"/>
      <c r="T546" s="155"/>
      <c r="U546" s="144"/>
      <c r="V546" s="144"/>
    </row>
    <row r="547" spans="1:22" ht="14" x14ac:dyDescent="0.15">
      <c r="A547" s="144"/>
      <c r="B547" s="144"/>
      <c r="C547" s="145"/>
      <c r="D547" s="145"/>
      <c r="E547" s="148"/>
      <c r="F547" s="155"/>
      <c r="G547" s="144"/>
      <c r="H547" s="144"/>
      <c r="I547" s="144"/>
      <c r="J547" s="145"/>
      <c r="K547" s="145"/>
      <c r="L547" s="154"/>
      <c r="M547" s="155"/>
      <c r="N547" s="144"/>
      <c r="O547" s="144"/>
      <c r="P547" s="144"/>
      <c r="Q547" s="145"/>
      <c r="R547" s="145"/>
      <c r="S547" s="154"/>
      <c r="T547" s="155"/>
      <c r="U547" s="144"/>
      <c r="V547" s="144"/>
    </row>
    <row r="548" spans="1:22" ht="14" x14ac:dyDescent="0.15">
      <c r="A548" s="144"/>
      <c r="B548" s="144"/>
      <c r="C548" s="145"/>
      <c r="D548" s="145"/>
      <c r="E548" s="148"/>
      <c r="F548" s="155"/>
      <c r="G548" s="144"/>
      <c r="H548" s="144"/>
      <c r="I548" s="144"/>
      <c r="J548" s="145"/>
      <c r="K548" s="145"/>
      <c r="L548" s="154"/>
      <c r="M548" s="155"/>
      <c r="N548" s="144"/>
      <c r="O548" s="144"/>
      <c r="P548" s="144"/>
      <c r="Q548" s="145"/>
      <c r="R548" s="145"/>
      <c r="S548" s="154"/>
      <c r="T548" s="155"/>
      <c r="U548" s="144"/>
      <c r="V548" s="144"/>
    </row>
    <row r="549" spans="1:22" ht="14" x14ac:dyDescent="0.15">
      <c r="A549" s="144"/>
      <c r="B549" s="144"/>
      <c r="C549" s="145"/>
      <c r="D549" s="145"/>
      <c r="E549" s="148"/>
      <c r="F549" s="155"/>
      <c r="G549" s="144"/>
      <c r="H549" s="144"/>
      <c r="I549" s="144"/>
      <c r="J549" s="145"/>
      <c r="K549" s="145"/>
      <c r="L549" s="154"/>
      <c r="M549" s="155"/>
      <c r="N549" s="144"/>
      <c r="O549" s="144"/>
      <c r="P549" s="144"/>
      <c r="Q549" s="145"/>
      <c r="R549" s="145"/>
      <c r="S549" s="154"/>
      <c r="T549" s="155"/>
      <c r="U549" s="144"/>
      <c r="V549" s="144"/>
    </row>
    <row r="550" spans="1:22" ht="14" x14ac:dyDescent="0.15">
      <c r="A550" s="144"/>
      <c r="B550" s="144"/>
      <c r="C550" s="145"/>
      <c r="D550" s="145"/>
      <c r="E550" s="148"/>
      <c r="F550" s="155"/>
      <c r="G550" s="144"/>
      <c r="H550" s="144"/>
      <c r="I550" s="144"/>
      <c r="J550" s="145"/>
      <c r="K550" s="145"/>
      <c r="L550" s="154"/>
      <c r="M550" s="155"/>
      <c r="N550" s="144"/>
      <c r="O550" s="144"/>
      <c r="P550" s="144"/>
      <c r="Q550" s="145"/>
      <c r="R550" s="145"/>
      <c r="S550" s="154"/>
      <c r="T550" s="155"/>
      <c r="U550" s="144"/>
      <c r="V550" s="144"/>
    </row>
    <row r="551" spans="1:22" ht="14" x14ac:dyDescent="0.15">
      <c r="A551" s="144"/>
      <c r="B551" s="144"/>
      <c r="C551" s="145"/>
      <c r="D551" s="145"/>
      <c r="E551" s="148"/>
      <c r="F551" s="155"/>
      <c r="G551" s="144"/>
      <c r="H551" s="144"/>
      <c r="I551" s="144"/>
      <c r="J551" s="145"/>
      <c r="K551" s="145"/>
      <c r="L551" s="154"/>
      <c r="M551" s="155"/>
      <c r="N551" s="144"/>
      <c r="O551" s="144"/>
      <c r="P551" s="144"/>
      <c r="Q551" s="145"/>
      <c r="R551" s="145"/>
      <c r="S551" s="154"/>
      <c r="T551" s="155"/>
      <c r="U551" s="144"/>
      <c r="V551" s="144"/>
    </row>
    <row r="552" spans="1:22" ht="14" x14ac:dyDescent="0.15">
      <c r="A552" s="144"/>
      <c r="B552" s="144"/>
      <c r="C552" s="145"/>
      <c r="D552" s="145"/>
      <c r="E552" s="148"/>
      <c r="F552" s="155"/>
      <c r="G552" s="144"/>
      <c r="H552" s="144"/>
      <c r="I552" s="144"/>
      <c r="J552" s="145"/>
      <c r="K552" s="145"/>
      <c r="L552" s="154"/>
      <c r="M552" s="155"/>
      <c r="N552" s="144"/>
      <c r="O552" s="144"/>
      <c r="P552" s="144"/>
      <c r="Q552" s="145"/>
      <c r="R552" s="145"/>
      <c r="S552" s="154"/>
      <c r="T552" s="155"/>
      <c r="U552" s="144"/>
      <c r="V552" s="144"/>
    </row>
    <row r="553" spans="1:22" ht="14" x14ac:dyDescent="0.15">
      <c r="A553" s="144"/>
      <c r="B553" s="144"/>
      <c r="C553" s="145"/>
      <c r="D553" s="145"/>
      <c r="E553" s="148"/>
      <c r="F553" s="155"/>
      <c r="G553" s="144"/>
      <c r="H553" s="144"/>
      <c r="I553" s="144"/>
      <c r="J553" s="145"/>
      <c r="K553" s="145"/>
      <c r="L553" s="154"/>
      <c r="M553" s="155"/>
      <c r="N553" s="144"/>
      <c r="O553" s="144"/>
      <c r="P553" s="144"/>
      <c r="Q553" s="145"/>
      <c r="R553" s="145"/>
      <c r="S553" s="154"/>
      <c r="T553" s="155"/>
      <c r="U553" s="144"/>
      <c r="V553" s="144"/>
    </row>
    <row r="554" spans="1:22" ht="14" x14ac:dyDescent="0.15">
      <c r="A554" s="144"/>
      <c r="B554" s="144"/>
      <c r="C554" s="145"/>
      <c r="D554" s="145"/>
      <c r="E554" s="148"/>
      <c r="F554" s="155"/>
      <c r="G554" s="144"/>
      <c r="H554" s="144"/>
      <c r="I554" s="144"/>
      <c r="J554" s="145"/>
      <c r="K554" s="145"/>
      <c r="L554" s="154"/>
      <c r="M554" s="155"/>
      <c r="N554" s="144"/>
      <c r="O554" s="144"/>
      <c r="P554" s="144"/>
      <c r="Q554" s="145"/>
      <c r="R554" s="145"/>
      <c r="S554" s="154"/>
      <c r="T554" s="155"/>
      <c r="U554" s="144"/>
      <c r="V554" s="144"/>
    </row>
    <row r="555" spans="1:22" ht="14" x14ac:dyDescent="0.15">
      <c r="A555" s="144"/>
      <c r="B555" s="144"/>
      <c r="C555" s="145"/>
      <c r="D555" s="145"/>
      <c r="E555" s="148"/>
      <c r="F555" s="155"/>
      <c r="G555" s="144"/>
      <c r="H555" s="144"/>
      <c r="I555" s="144"/>
      <c r="J555" s="145"/>
      <c r="K555" s="145"/>
      <c r="L555" s="154"/>
      <c r="M555" s="155"/>
      <c r="N555" s="144"/>
      <c r="O555" s="144"/>
      <c r="P555" s="144"/>
      <c r="Q555" s="145"/>
      <c r="R555" s="145"/>
      <c r="S555" s="154"/>
      <c r="T555" s="155"/>
      <c r="U555" s="144"/>
      <c r="V555" s="144"/>
    </row>
    <row r="556" spans="1:22" ht="14" x14ac:dyDescent="0.15">
      <c r="A556" s="144"/>
      <c r="B556" s="144"/>
      <c r="C556" s="145"/>
      <c r="D556" s="145"/>
      <c r="E556" s="148"/>
      <c r="F556" s="155"/>
      <c r="G556" s="144"/>
      <c r="H556" s="144"/>
      <c r="I556" s="144"/>
      <c r="J556" s="145"/>
      <c r="K556" s="145"/>
      <c r="L556" s="154"/>
      <c r="M556" s="155"/>
      <c r="N556" s="144"/>
      <c r="O556" s="144"/>
      <c r="P556" s="144"/>
      <c r="Q556" s="145"/>
      <c r="R556" s="145"/>
      <c r="S556" s="154"/>
      <c r="T556" s="155"/>
      <c r="U556" s="144"/>
      <c r="V556" s="144"/>
    </row>
    <row r="557" spans="1:22" ht="14" x14ac:dyDescent="0.15">
      <c r="A557" s="144"/>
      <c r="B557" s="144"/>
      <c r="C557" s="145"/>
      <c r="D557" s="145"/>
      <c r="E557" s="148"/>
      <c r="F557" s="155"/>
      <c r="G557" s="144"/>
      <c r="H557" s="144"/>
      <c r="I557" s="144"/>
      <c r="J557" s="145"/>
      <c r="K557" s="145"/>
      <c r="L557" s="154"/>
      <c r="M557" s="155"/>
      <c r="N557" s="144"/>
      <c r="O557" s="144"/>
      <c r="P557" s="144"/>
      <c r="Q557" s="145"/>
      <c r="R557" s="145"/>
      <c r="S557" s="154"/>
      <c r="T557" s="155"/>
      <c r="U557" s="144"/>
      <c r="V557" s="144"/>
    </row>
    <row r="558" spans="1:22" ht="14" x14ac:dyDescent="0.15">
      <c r="A558" s="144"/>
      <c r="B558" s="144"/>
      <c r="C558" s="145"/>
      <c r="D558" s="145"/>
      <c r="E558" s="148"/>
      <c r="F558" s="155"/>
      <c r="G558" s="144"/>
      <c r="H558" s="144"/>
      <c r="I558" s="144"/>
      <c r="J558" s="145"/>
      <c r="K558" s="145"/>
      <c r="L558" s="154"/>
      <c r="M558" s="155"/>
      <c r="N558" s="144"/>
      <c r="O558" s="144"/>
      <c r="P558" s="144"/>
      <c r="Q558" s="145"/>
      <c r="R558" s="145"/>
      <c r="S558" s="154"/>
      <c r="T558" s="155"/>
      <c r="U558" s="144"/>
      <c r="V558" s="144"/>
    </row>
    <row r="559" spans="1:22" ht="14" x14ac:dyDescent="0.15">
      <c r="A559" s="144"/>
      <c r="B559" s="144"/>
      <c r="C559" s="145"/>
      <c r="D559" s="145"/>
      <c r="E559" s="148"/>
      <c r="F559" s="155"/>
      <c r="G559" s="144"/>
      <c r="H559" s="144"/>
      <c r="I559" s="144"/>
      <c r="J559" s="145"/>
      <c r="K559" s="145"/>
      <c r="L559" s="154"/>
      <c r="M559" s="155"/>
      <c r="N559" s="144"/>
      <c r="O559" s="144"/>
      <c r="P559" s="144"/>
      <c r="Q559" s="145"/>
      <c r="R559" s="145"/>
      <c r="S559" s="154"/>
      <c r="T559" s="155"/>
      <c r="U559" s="144"/>
      <c r="V559" s="144"/>
    </row>
    <row r="560" spans="1:22" ht="14" x14ac:dyDescent="0.15">
      <c r="A560" s="144"/>
      <c r="B560" s="144"/>
      <c r="C560" s="145"/>
      <c r="D560" s="145"/>
      <c r="E560" s="148"/>
      <c r="F560" s="155"/>
      <c r="G560" s="144"/>
      <c r="H560" s="144"/>
      <c r="I560" s="144"/>
      <c r="J560" s="145"/>
      <c r="K560" s="145"/>
      <c r="L560" s="154"/>
      <c r="M560" s="155"/>
      <c r="N560" s="144"/>
      <c r="O560" s="144"/>
      <c r="P560" s="144"/>
      <c r="Q560" s="145"/>
      <c r="R560" s="145"/>
      <c r="S560" s="154"/>
      <c r="T560" s="155"/>
      <c r="U560" s="144"/>
      <c r="V560" s="144"/>
    </row>
    <row r="561" spans="1:22" ht="14" x14ac:dyDescent="0.15">
      <c r="A561" s="144"/>
      <c r="B561" s="144"/>
      <c r="C561" s="145"/>
      <c r="D561" s="145"/>
      <c r="E561" s="148"/>
      <c r="F561" s="155"/>
      <c r="G561" s="144"/>
      <c r="H561" s="144"/>
      <c r="I561" s="144"/>
      <c r="J561" s="145"/>
      <c r="K561" s="145"/>
      <c r="L561" s="154"/>
      <c r="M561" s="155"/>
      <c r="N561" s="144"/>
      <c r="O561" s="144"/>
      <c r="P561" s="144"/>
      <c r="Q561" s="145"/>
      <c r="R561" s="145"/>
      <c r="S561" s="154"/>
      <c r="T561" s="155"/>
      <c r="U561" s="144"/>
      <c r="V561" s="144"/>
    </row>
    <row r="562" spans="1:22" ht="14" x14ac:dyDescent="0.15">
      <c r="A562" s="144"/>
      <c r="B562" s="144"/>
      <c r="C562" s="145"/>
      <c r="D562" s="145"/>
      <c r="E562" s="148"/>
      <c r="F562" s="155"/>
      <c r="G562" s="144"/>
      <c r="H562" s="144"/>
      <c r="I562" s="144"/>
      <c r="J562" s="145"/>
      <c r="K562" s="145"/>
      <c r="L562" s="154"/>
      <c r="M562" s="155"/>
      <c r="N562" s="144"/>
      <c r="O562" s="144"/>
      <c r="P562" s="144"/>
      <c r="Q562" s="145"/>
      <c r="R562" s="145"/>
      <c r="S562" s="154"/>
      <c r="T562" s="155"/>
      <c r="U562" s="144"/>
      <c r="V562" s="144"/>
    </row>
    <row r="563" spans="1:22" ht="14" x14ac:dyDescent="0.15">
      <c r="A563" s="144"/>
      <c r="B563" s="144"/>
      <c r="C563" s="145"/>
      <c r="D563" s="145"/>
      <c r="E563" s="148"/>
      <c r="F563" s="155"/>
      <c r="G563" s="144"/>
      <c r="H563" s="144"/>
      <c r="I563" s="144"/>
      <c r="J563" s="145"/>
      <c r="K563" s="145"/>
      <c r="L563" s="154"/>
      <c r="M563" s="155"/>
      <c r="N563" s="144"/>
      <c r="O563" s="144"/>
      <c r="P563" s="144"/>
      <c r="Q563" s="145"/>
      <c r="R563" s="145"/>
      <c r="S563" s="154"/>
      <c r="T563" s="155"/>
      <c r="U563" s="144"/>
      <c r="V563" s="144"/>
    </row>
    <row r="564" spans="1:22" ht="14" x14ac:dyDescent="0.15">
      <c r="A564" s="144"/>
      <c r="B564" s="144"/>
      <c r="C564" s="145"/>
      <c r="D564" s="145"/>
      <c r="E564" s="148"/>
      <c r="F564" s="155"/>
      <c r="G564" s="144"/>
      <c r="H564" s="144"/>
      <c r="I564" s="144"/>
      <c r="J564" s="145"/>
      <c r="K564" s="145"/>
      <c r="L564" s="154"/>
      <c r="M564" s="155"/>
      <c r="N564" s="144"/>
      <c r="O564" s="144"/>
      <c r="P564" s="144"/>
      <c r="Q564" s="145"/>
      <c r="R564" s="145"/>
      <c r="S564" s="154"/>
      <c r="T564" s="155"/>
      <c r="U564" s="144"/>
      <c r="V564" s="144"/>
    </row>
    <row r="565" spans="1:22" ht="14" x14ac:dyDescent="0.15">
      <c r="A565" s="144"/>
      <c r="B565" s="144"/>
      <c r="C565" s="145"/>
      <c r="D565" s="145"/>
      <c r="E565" s="148"/>
      <c r="F565" s="155"/>
      <c r="G565" s="144"/>
      <c r="H565" s="144"/>
      <c r="I565" s="144"/>
      <c r="J565" s="145"/>
      <c r="K565" s="145"/>
      <c r="L565" s="154"/>
      <c r="M565" s="155"/>
      <c r="N565" s="144"/>
      <c r="O565" s="144"/>
      <c r="P565" s="144"/>
      <c r="Q565" s="145"/>
      <c r="R565" s="145"/>
      <c r="S565" s="154"/>
      <c r="T565" s="155"/>
      <c r="U565" s="144"/>
      <c r="V565" s="144"/>
    </row>
    <row r="566" spans="1:22" ht="14" x14ac:dyDescent="0.15">
      <c r="A566" s="144"/>
      <c r="B566" s="144"/>
      <c r="C566" s="145"/>
      <c r="D566" s="145"/>
      <c r="E566" s="148"/>
      <c r="F566" s="155"/>
      <c r="G566" s="144"/>
      <c r="H566" s="144"/>
      <c r="I566" s="144"/>
      <c r="J566" s="145"/>
      <c r="K566" s="145"/>
      <c r="L566" s="154"/>
      <c r="M566" s="155"/>
      <c r="N566" s="144"/>
      <c r="O566" s="144"/>
      <c r="P566" s="144"/>
      <c r="Q566" s="145"/>
      <c r="R566" s="145"/>
      <c r="S566" s="154"/>
      <c r="T566" s="155"/>
      <c r="U566" s="144"/>
      <c r="V566" s="144"/>
    </row>
    <row r="567" spans="1:22" ht="14" x14ac:dyDescent="0.15">
      <c r="A567" s="144"/>
      <c r="B567" s="144"/>
      <c r="C567" s="145"/>
      <c r="D567" s="145"/>
      <c r="E567" s="148"/>
      <c r="F567" s="155"/>
      <c r="G567" s="144"/>
      <c r="H567" s="144"/>
      <c r="I567" s="144"/>
      <c r="J567" s="145"/>
      <c r="K567" s="145"/>
      <c r="L567" s="154"/>
      <c r="M567" s="155"/>
      <c r="N567" s="144"/>
      <c r="O567" s="144"/>
      <c r="P567" s="144"/>
      <c r="Q567" s="145"/>
      <c r="R567" s="145"/>
      <c r="S567" s="154"/>
      <c r="T567" s="155"/>
      <c r="U567" s="144"/>
      <c r="V567" s="144"/>
    </row>
    <row r="568" spans="1:22" ht="14" x14ac:dyDescent="0.15">
      <c r="A568" s="144"/>
      <c r="B568" s="144"/>
      <c r="C568" s="145"/>
      <c r="D568" s="145"/>
      <c r="E568" s="148"/>
      <c r="F568" s="155"/>
      <c r="G568" s="144"/>
      <c r="H568" s="144"/>
      <c r="I568" s="144"/>
      <c r="J568" s="145"/>
      <c r="K568" s="145"/>
      <c r="L568" s="154"/>
      <c r="M568" s="155"/>
      <c r="N568" s="144"/>
      <c r="O568" s="144"/>
      <c r="P568" s="144"/>
      <c r="Q568" s="145"/>
      <c r="R568" s="145"/>
      <c r="S568" s="154"/>
      <c r="T568" s="155"/>
      <c r="U568" s="144"/>
      <c r="V568" s="144"/>
    </row>
    <row r="569" spans="1:22" ht="14" x14ac:dyDescent="0.15">
      <c r="A569" s="144"/>
      <c r="B569" s="144"/>
      <c r="C569" s="145"/>
      <c r="D569" s="145"/>
      <c r="E569" s="148"/>
      <c r="F569" s="155"/>
      <c r="G569" s="144"/>
      <c r="H569" s="144"/>
      <c r="I569" s="144"/>
      <c r="J569" s="145"/>
      <c r="K569" s="145"/>
      <c r="L569" s="154"/>
      <c r="M569" s="155"/>
      <c r="N569" s="144"/>
      <c r="O569" s="144"/>
      <c r="P569" s="144"/>
      <c r="Q569" s="145"/>
      <c r="R569" s="145"/>
      <c r="S569" s="154"/>
      <c r="T569" s="155"/>
      <c r="U569" s="144"/>
      <c r="V569" s="144"/>
    </row>
    <row r="570" spans="1:22" ht="14" x14ac:dyDescent="0.15">
      <c r="A570" s="144"/>
      <c r="B570" s="144"/>
      <c r="C570" s="145"/>
      <c r="D570" s="145"/>
      <c r="E570" s="148"/>
      <c r="F570" s="155"/>
      <c r="G570" s="144"/>
      <c r="H570" s="144"/>
      <c r="I570" s="144"/>
      <c r="J570" s="145"/>
      <c r="K570" s="145"/>
      <c r="L570" s="154"/>
      <c r="M570" s="155"/>
      <c r="N570" s="144"/>
      <c r="O570" s="144"/>
      <c r="P570" s="144"/>
      <c r="Q570" s="145"/>
      <c r="R570" s="145"/>
      <c r="S570" s="154"/>
      <c r="T570" s="155"/>
      <c r="U570" s="144"/>
      <c r="V570" s="144"/>
    </row>
    <row r="571" spans="1:22" ht="14" x14ac:dyDescent="0.15">
      <c r="A571" s="144"/>
      <c r="B571" s="144"/>
      <c r="C571" s="145"/>
      <c r="D571" s="145"/>
      <c r="E571" s="148"/>
      <c r="F571" s="155"/>
      <c r="G571" s="144"/>
      <c r="H571" s="144"/>
      <c r="I571" s="144"/>
      <c r="J571" s="145"/>
      <c r="K571" s="145"/>
      <c r="L571" s="154"/>
      <c r="M571" s="155"/>
      <c r="N571" s="144"/>
      <c r="O571" s="144"/>
      <c r="P571" s="144"/>
      <c r="Q571" s="145"/>
      <c r="R571" s="145"/>
      <c r="S571" s="154"/>
      <c r="T571" s="155"/>
      <c r="U571" s="144"/>
      <c r="V571" s="144"/>
    </row>
    <row r="572" spans="1:22" ht="14" x14ac:dyDescent="0.15">
      <c r="A572" s="144"/>
      <c r="B572" s="144"/>
      <c r="C572" s="145"/>
      <c r="D572" s="145"/>
      <c r="E572" s="148"/>
      <c r="F572" s="155"/>
      <c r="G572" s="144"/>
      <c r="H572" s="144"/>
      <c r="I572" s="144"/>
      <c r="J572" s="145"/>
      <c r="K572" s="145"/>
      <c r="L572" s="154"/>
      <c r="M572" s="155"/>
      <c r="N572" s="144"/>
      <c r="O572" s="144"/>
      <c r="P572" s="144"/>
      <c r="Q572" s="145"/>
      <c r="R572" s="145"/>
      <c r="S572" s="154"/>
      <c r="T572" s="155"/>
      <c r="U572" s="144"/>
      <c r="V572" s="144"/>
    </row>
    <row r="573" spans="1:22" ht="14" x14ac:dyDescent="0.15">
      <c r="A573" s="144"/>
      <c r="B573" s="144"/>
      <c r="C573" s="145"/>
      <c r="D573" s="145"/>
      <c r="E573" s="148"/>
      <c r="F573" s="155"/>
      <c r="G573" s="144"/>
      <c r="H573" s="144"/>
      <c r="I573" s="144"/>
      <c r="J573" s="145"/>
      <c r="K573" s="145"/>
      <c r="L573" s="154"/>
      <c r="M573" s="155"/>
      <c r="N573" s="144"/>
      <c r="O573" s="144"/>
      <c r="P573" s="144"/>
      <c r="Q573" s="145"/>
      <c r="R573" s="145"/>
      <c r="S573" s="154"/>
      <c r="T573" s="155"/>
      <c r="U573" s="144"/>
      <c r="V573" s="144"/>
    </row>
    <row r="574" spans="1:22" ht="14" x14ac:dyDescent="0.15">
      <c r="A574" s="144"/>
      <c r="B574" s="144"/>
      <c r="C574" s="145"/>
      <c r="D574" s="145"/>
      <c r="E574" s="148"/>
      <c r="F574" s="155"/>
      <c r="G574" s="144"/>
      <c r="H574" s="144"/>
      <c r="I574" s="144"/>
      <c r="J574" s="145"/>
      <c r="K574" s="145"/>
      <c r="L574" s="154"/>
      <c r="M574" s="155"/>
      <c r="N574" s="144"/>
      <c r="O574" s="144"/>
      <c r="P574" s="144"/>
      <c r="Q574" s="145"/>
      <c r="R574" s="145"/>
      <c r="S574" s="154"/>
      <c r="T574" s="155"/>
      <c r="U574" s="144"/>
      <c r="V574" s="144"/>
    </row>
    <row r="575" spans="1:22" ht="14" x14ac:dyDescent="0.15">
      <c r="A575" s="144"/>
      <c r="B575" s="144"/>
      <c r="C575" s="145"/>
      <c r="D575" s="145"/>
      <c r="E575" s="148"/>
      <c r="F575" s="155"/>
      <c r="G575" s="144"/>
      <c r="H575" s="144"/>
      <c r="I575" s="144"/>
      <c r="J575" s="145"/>
      <c r="K575" s="145"/>
      <c r="L575" s="154"/>
      <c r="M575" s="155"/>
      <c r="N575" s="144"/>
      <c r="O575" s="144"/>
      <c r="P575" s="144"/>
      <c r="Q575" s="145"/>
      <c r="R575" s="145"/>
      <c r="S575" s="154"/>
      <c r="T575" s="155"/>
      <c r="U575" s="144"/>
      <c r="V575" s="144"/>
    </row>
    <row r="576" spans="1:22" ht="14" x14ac:dyDescent="0.15">
      <c r="A576" s="144"/>
      <c r="B576" s="144"/>
      <c r="C576" s="145"/>
      <c r="D576" s="145"/>
      <c r="E576" s="148"/>
      <c r="F576" s="155"/>
      <c r="G576" s="144"/>
      <c r="H576" s="144"/>
      <c r="I576" s="144"/>
      <c r="J576" s="145"/>
      <c r="K576" s="145"/>
      <c r="L576" s="154"/>
      <c r="M576" s="155"/>
      <c r="N576" s="144"/>
      <c r="O576" s="144"/>
      <c r="P576" s="144"/>
      <c r="Q576" s="145"/>
      <c r="R576" s="145"/>
      <c r="S576" s="154"/>
      <c r="T576" s="155"/>
      <c r="U576" s="144"/>
      <c r="V576" s="144"/>
    </row>
    <row r="577" spans="1:22" ht="14" x14ac:dyDescent="0.15">
      <c r="A577" s="144"/>
      <c r="B577" s="144"/>
      <c r="C577" s="145"/>
      <c r="D577" s="145"/>
      <c r="E577" s="148"/>
      <c r="F577" s="155"/>
      <c r="G577" s="144"/>
      <c r="H577" s="144"/>
      <c r="I577" s="144"/>
      <c r="J577" s="145"/>
      <c r="K577" s="145"/>
      <c r="L577" s="154"/>
      <c r="M577" s="155"/>
      <c r="N577" s="144"/>
      <c r="O577" s="144"/>
      <c r="P577" s="144"/>
      <c r="Q577" s="145"/>
      <c r="R577" s="145"/>
      <c r="S577" s="154"/>
      <c r="T577" s="155"/>
      <c r="U577" s="144"/>
      <c r="V577" s="144"/>
    </row>
    <row r="578" spans="1:22" ht="14" x14ac:dyDescent="0.15">
      <c r="A578" s="144"/>
      <c r="B578" s="144"/>
      <c r="C578" s="145"/>
      <c r="D578" s="145"/>
      <c r="E578" s="148"/>
      <c r="F578" s="155"/>
      <c r="G578" s="144"/>
      <c r="H578" s="144"/>
      <c r="I578" s="144"/>
      <c r="J578" s="145"/>
      <c r="K578" s="145"/>
      <c r="L578" s="154"/>
      <c r="M578" s="155"/>
      <c r="N578" s="144"/>
      <c r="O578" s="144"/>
      <c r="P578" s="144"/>
      <c r="Q578" s="145"/>
      <c r="R578" s="145"/>
      <c r="S578" s="154"/>
      <c r="T578" s="155"/>
      <c r="U578" s="144"/>
      <c r="V578" s="144"/>
    </row>
    <row r="579" spans="1:22" ht="14" x14ac:dyDescent="0.15">
      <c r="A579" s="144"/>
      <c r="B579" s="144"/>
      <c r="C579" s="145"/>
      <c r="D579" s="145"/>
      <c r="E579" s="148"/>
      <c r="F579" s="155"/>
      <c r="G579" s="144"/>
      <c r="H579" s="144"/>
      <c r="I579" s="144"/>
      <c r="J579" s="145"/>
      <c r="K579" s="145"/>
      <c r="L579" s="154"/>
      <c r="M579" s="155"/>
      <c r="N579" s="144"/>
      <c r="O579" s="144"/>
      <c r="P579" s="144"/>
      <c r="Q579" s="145"/>
      <c r="R579" s="145"/>
      <c r="S579" s="154"/>
      <c r="T579" s="155"/>
      <c r="U579" s="144"/>
      <c r="V579" s="144"/>
    </row>
    <row r="580" spans="1:22" ht="14" x14ac:dyDescent="0.15">
      <c r="A580" s="144"/>
      <c r="B580" s="144"/>
      <c r="C580" s="145"/>
      <c r="D580" s="145"/>
      <c r="E580" s="148"/>
      <c r="F580" s="155"/>
      <c r="G580" s="144"/>
      <c r="H580" s="144"/>
      <c r="I580" s="144"/>
      <c r="J580" s="145"/>
      <c r="K580" s="145"/>
      <c r="L580" s="154"/>
      <c r="M580" s="155"/>
      <c r="N580" s="144"/>
      <c r="O580" s="144"/>
      <c r="P580" s="144"/>
      <c r="Q580" s="145"/>
      <c r="R580" s="145"/>
      <c r="S580" s="154"/>
      <c r="T580" s="155"/>
      <c r="U580" s="144"/>
      <c r="V580" s="144"/>
    </row>
    <row r="581" spans="1:22" ht="14" x14ac:dyDescent="0.15">
      <c r="A581" s="144"/>
      <c r="B581" s="144"/>
      <c r="C581" s="145"/>
      <c r="D581" s="145"/>
      <c r="E581" s="148"/>
      <c r="F581" s="155"/>
      <c r="G581" s="144"/>
      <c r="H581" s="144"/>
      <c r="I581" s="144"/>
      <c r="J581" s="145"/>
      <c r="K581" s="145"/>
      <c r="L581" s="154"/>
      <c r="M581" s="155"/>
      <c r="N581" s="144"/>
      <c r="O581" s="144"/>
      <c r="P581" s="144"/>
      <c r="Q581" s="145"/>
      <c r="R581" s="145"/>
      <c r="S581" s="154"/>
      <c r="T581" s="155"/>
      <c r="U581" s="144"/>
      <c r="V581" s="144"/>
    </row>
    <row r="582" spans="1:22" ht="14" x14ac:dyDescent="0.15">
      <c r="A582" s="144"/>
      <c r="B582" s="144"/>
      <c r="C582" s="145"/>
      <c r="D582" s="145"/>
      <c r="E582" s="148"/>
      <c r="F582" s="155"/>
      <c r="G582" s="144"/>
      <c r="H582" s="144"/>
      <c r="I582" s="144"/>
      <c r="J582" s="145"/>
      <c r="K582" s="145"/>
      <c r="L582" s="154"/>
      <c r="M582" s="155"/>
      <c r="N582" s="144"/>
      <c r="O582" s="144"/>
      <c r="P582" s="144"/>
      <c r="Q582" s="145"/>
      <c r="R582" s="145"/>
      <c r="S582" s="154"/>
      <c r="T582" s="155"/>
      <c r="U582" s="144"/>
      <c r="V582" s="144"/>
    </row>
    <row r="583" spans="1:22" ht="14" x14ac:dyDescent="0.15">
      <c r="A583" s="144"/>
      <c r="B583" s="144"/>
      <c r="C583" s="145"/>
      <c r="D583" s="145"/>
      <c r="E583" s="148"/>
      <c r="F583" s="155"/>
      <c r="G583" s="144"/>
      <c r="H583" s="144"/>
      <c r="I583" s="144"/>
      <c r="J583" s="145"/>
      <c r="K583" s="145"/>
      <c r="L583" s="154"/>
      <c r="M583" s="155"/>
      <c r="N583" s="144"/>
      <c r="O583" s="144"/>
      <c r="P583" s="144"/>
      <c r="Q583" s="145"/>
      <c r="R583" s="145"/>
      <c r="S583" s="154"/>
      <c r="T583" s="155"/>
      <c r="U583" s="144"/>
      <c r="V583" s="144"/>
    </row>
    <row r="584" spans="1:22" ht="14" x14ac:dyDescent="0.15">
      <c r="A584" s="144"/>
      <c r="B584" s="144"/>
      <c r="C584" s="145"/>
      <c r="D584" s="145"/>
      <c r="E584" s="148"/>
      <c r="F584" s="155"/>
      <c r="G584" s="144"/>
      <c r="H584" s="144"/>
      <c r="I584" s="144"/>
      <c r="J584" s="145"/>
      <c r="K584" s="145"/>
      <c r="L584" s="154"/>
      <c r="M584" s="155"/>
      <c r="N584" s="144"/>
      <c r="O584" s="144"/>
      <c r="P584" s="144"/>
      <c r="Q584" s="145"/>
      <c r="R584" s="145"/>
      <c r="S584" s="154"/>
      <c r="T584" s="155"/>
      <c r="U584" s="144"/>
      <c r="V584" s="144"/>
    </row>
    <row r="585" spans="1:22" ht="14" x14ac:dyDescent="0.15">
      <c r="A585" s="144"/>
      <c r="B585" s="144"/>
      <c r="C585" s="145"/>
      <c r="D585" s="145"/>
      <c r="E585" s="148"/>
      <c r="F585" s="155"/>
      <c r="G585" s="144"/>
      <c r="H585" s="144"/>
      <c r="I585" s="144"/>
      <c r="J585" s="145"/>
      <c r="K585" s="145"/>
      <c r="L585" s="154"/>
      <c r="M585" s="155"/>
      <c r="N585" s="144"/>
      <c r="O585" s="144"/>
      <c r="P585" s="144"/>
      <c r="Q585" s="145"/>
      <c r="R585" s="145"/>
      <c r="S585" s="154"/>
      <c r="T585" s="155"/>
      <c r="U585" s="144"/>
      <c r="V585" s="144"/>
    </row>
    <row r="586" spans="1:22" ht="14" x14ac:dyDescent="0.15">
      <c r="A586" s="144"/>
      <c r="B586" s="144"/>
      <c r="C586" s="145"/>
      <c r="D586" s="145"/>
      <c r="E586" s="148"/>
      <c r="F586" s="155"/>
      <c r="G586" s="144"/>
      <c r="H586" s="144"/>
      <c r="I586" s="144"/>
      <c r="J586" s="145"/>
      <c r="K586" s="145"/>
      <c r="L586" s="154"/>
      <c r="M586" s="155"/>
      <c r="N586" s="144"/>
      <c r="O586" s="144"/>
      <c r="P586" s="144"/>
      <c r="Q586" s="145"/>
      <c r="R586" s="145"/>
      <c r="S586" s="154"/>
      <c r="T586" s="155"/>
      <c r="U586" s="144"/>
      <c r="V586" s="144"/>
    </row>
    <row r="587" spans="1:22" ht="14" x14ac:dyDescent="0.15">
      <c r="A587" s="144"/>
      <c r="B587" s="144"/>
      <c r="C587" s="145"/>
      <c r="D587" s="145"/>
      <c r="E587" s="148"/>
      <c r="F587" s="155"/>
      <c r="G587" s="144"/>
      <c r="H587" s="144"/>
      <c r="I587" s="144"/>
      <c r="J587" s="145"/>
      <c r="K587" s="145"/>
      <c r="L587" s="154"/>
      <c r="M587" s="155"/>
      <c r="N587" s="144"/>
      <c r="O587" s="144"/>
      <c r="P587" s="144"/>
      <c r="Q587" s="145"/>
      <c r="R587" s="145"/>
      <c r="S587" s="154"/>
      <c r="T587" s="155"/>
      <c r="U587" s="144"/>
      <c r="V587" s="144"/>
    </row>
    <row r="588" spans="1:22" ht="14" x14ac:dyDescent="0.15">
      <c r="A588" s="144"/>
      <c r="B588" s="144"/>
      <c r="C588" s="145"/>
      <c r="D588" s="145"/>
      <c r="E588" s="148"/>
      <c r="F588" s="155"/>
      <c r="G588" s="144"/>
      <c r="H588" s="144"/>
      <c r="I588" s="144"/>
      <c r="J588" s="145"/>
      <c r="K588" s="145"/>
      <c r="L588" s="154"/>
      <c r="M588" s="155"/>
      <c r="N588" s="144"/>
      <c r="O588" s="144"/>
      <c r="P588" s="144"/>
      <c r="Q588" s="145"/>
      <c r="R588" s="145"/>
      <c r="S588" s="154"/>
      <c r="T588" s="155"/>
      <c r="U588" s="144"/>
      <c r="V588" s="144"/>
    </row>
    <row r="589" spans="1:22" ht="14" x14ac:dyDescent="0.15">
      <c r="A589" s="144"/>
      <c r="B589" s="144"/>
      <c r="C589" s="145"/>
      <c r="D589" s="145"/>
      <c r="E589" s="148"/>
      <c r="F589" s="155"/>
      <c r="G589" s="144"/>
      <c r="H589" s="144"/>
      <c r="I589" s="144"/>
      <c r="J589" s="145"/>
      <c r="K589" s="145"/>
      <c r="L589" s="154"/>
      <c r="M589" s="155"/>
      <c r="N589" s="144"/>
      <c r="O589" s="144"/>
      <c r="P589" s="144"/>
      <c r="Q589" s="145"/>
      <c r="R589" s="145"/>
      <c r="S589" s="154"/>
      <c r="T589" s="155"/>
      <c r="U589" s="144"/>
      <c r="V589" s="144"/>
    </row>
    <row r="590" spans="1:22" ht="14" x14ac:dyDescent="0.15">
      <c r="A590" s="144"/>
      <c r="B590" s="144"/>
      <c r="C590" s="145"/>
      <c r="D590" s="145"/>
      <c r="E590" s="148"/>
      <c r="F590" s="155"/>
      <c r="G590" s="144"/>
      <c r="H590" s="144"/>
      <c r="I590" s="144"/>
      <c r="J590" s="145"/>
      <c r="K590" s="145"/>
      <c r="L590" s="154"/>
      <c r="M590" s="155"/>
      <c r="N590" s="144"/>
      <c r="O590" s="144"/>
      <c r="P590" s="144"/>
      <c r="Q590" s="145"/>
      <c r="R590" s="145"/>
      <c r="S590" s="154"/>
      <c r="T590" s="155"/>
      <c r="U590" s="144"/>
      <c r="V590" s="144"/>
    </row>
    <row r="591" spans="1:22" ht="14" x14ac:dyDescent="0.15">
      <c r="A591" s="144"/>
      <c r="B591" s="144"/>
      <c r="C591" s="145"/>
      <c r="D591" s="145"/>
      <c r="E591" s="148"/>
      <c r="F591" s="155"/>
      <c r="G591" s="144"/>
      <c r="H591" s="144"/>
      <c r="I591" s="144"/>
      <c r="J591" s="145"/>
      <c r="K591" s="145"/>
      <c r="L591" s="154"/>
      <c r="M591" s="155"/>
      <c r="N591" s="144"/>
      <c r="O591" s="144"/>
      <c r="P591" s="144"/>
      <c r="Q591" s="145"/>
      <c r="R591" s="145"/>
      <c r="S591" s="154"/>
      <c r="T591" s="155"/>
      <c r="U591" s="144"/>
      <c r="V591" s="144"/>
    </row>
    <row r="592" spans="1:22" ht="14" x14ac:dyDescent="0.15">
      <c r="A592" s="144"/>
      <c r="B592" s="144"/>
      <c r="C592" s="145"/>
      <c r="D592" s="145"/>
      <c r="E592" s="148"/>
      <c r="F592" s="155"/>
      <c r="G592" s="144"/>
      <c r="H592" s="144"/>
      <c r="I592" s="144"/>
      <c r="J592" s="145"/>
      <c r="K592" s="145"/>
      <c r="L592" s="154"/>
      <c r="M592" s="155"/>
      <c r="N592" s="144"/>
      <c r="O592" s="144"/>
      <c r="P592" s="144"/>
      <c r="Q592" s="145"/>
      <c r="R592" s="145"/>
      <c r="S592" s="154"/>
      <c r="T592" s="155"/>
      <c r="U592" s="144"/>
      <c r="V592" s="144"/>
    </row>
    <row r="593" spans="1:22" ht="14" x14ac:dyDescent="0.15">
      <c r="A593" s="144"/>
      <c r="B593" s="144"/>
      <c r="C593" s="145"/>
      <c r="D593" s="145"/>
      <c r="E593" s="148"/>
      <c r="F593" s="155"/>
      <c r="G593" s="144"/>
      <c r="H593" s="144"/>
      <c r="I593" s="144"/>
      <c r="J593" s="145"/>
      <c r="K593" s="145"/>
      <c r="L593" s="154"/>
      <c r="M593" s="155"/>
      <c r="N593" s="144"/>
      <c r="O593" s="144"/>
      <c r="P593" s="144"/>
      <c r="Q593" s="145"/>
      <c r="R593" s="145"/>
      <c r="S593" s="154"/>
      <c r="T593" s="155"/>
      <c r="U593" s="144"/>
      <c r="V593" s="144"/>
    </row>
    <row r="594" spans="1:22" ht="14" x14ac:dyDescent="0.15">
      <c r="A594" s="144"/>
      <c r="B594" s="144"/>
      <c r="C594" s="145"/>
      <c r="D594" s="145"/>
      <c r="E594" s="148"/>
      <c r="F594" s="155"/>
      <c r="G594" s="144"/>
      <c r="H594" s="144"/>
      <c r="I594" s="144"/>
      <c r="J594" s="145"/>
      <c r="K594" s="145"/>
      <c r="L594" s="154"/>
      <c r="M594" s="155"/>
      <c r="N594" s="144"/>
      <c r="O594" s="144"/>
      <c r="P594" s="144"/>
      <c r="Q594" s="145"/>
      <c r="R594" s="145"/>
      <c r="S594" s="154"/>
      <c r="T594" s="155"/>
      <c r="U594" s="144"/>
      <c r="V594" s="144"/>
    </row>
    <row r="595" spans="1:22" ht="14" x14ac:dyDescent="0.15">
      <c r="A595" s="144"/>
      <c r="B595" s="144"/>
      <c r="C595" s="145"/>
      <c r="D595" s="145"/>
      <c r="E595" s="148"/>
      <c r="F595" s="155"/>
      <c r="G595" s="144"/>
      <c r="H595" s="144"/>
      <c r="I595" s="144"/>
      <c r="J595" s="145"/>
      <c r="K595" s="145"/>
      <c r="L595" s="154"/>
      <c r="M595" s="155"/>
      <c r="N595" s="144"/>
      <c r="O595" s="144"/>
      <c r="P595" s="144"/>
      <c r="Q595" s="145"/>
      <c r="R595" s="145"/>
      <c r="S595" s="154"/>
      <c r="T595" s="155"/>
      <c r="U595" s="144"/>
      <c r="V595" s="144"/>
    </row>
    <row r="596" spans="1:22" ht="14" x14ac:dyDescent="0.15">
      <c r="A596" s="144"/>
      <c r="B596" s="144"/>
      <c r="C596" s="145"/>
      <c r="D596" s="145"/>
      <c r="E596" s="148"/>
      <c r="F596" s="155"/>
      <c r="G596" s="144"/>
      <c r="H596" s="144"/>
      <c r="I596" s="144"/>
      <c r="J596" s="145"/>
      <c r="K596" s="145"/>
      <c r="L596" s="154"/>
      <c r="M596" s="155"/>
      <c r="N596" s="144"/>
      <c r="O596" s="144"/>
      <c r="P596" s="144"/>
      <c r="Q596" s="145"/>
      <c r="R596" s="145"/>
      <c r="S596" s="154"/>
      <c r="T596" s="155"/>
      <c r="U596" s="144"/>
      <c r="V596" s="144"/>
    </row>
    <row r="597" spans="1:22" ht="14" x14ac:dyDescent="0.15">
      <c r="A597" s="144"/>
      <c r="B597" s="144"/>
      <c r="C597" s="145"/>
      <c r="D597" s="145"/>
      <c r="E597" s="148"/>
      <c r="F597" s="155"/>
      <c r="G597" s="144"/>
      <c r="H597" s="144"/>
      <c r="I597" s="144"/>
      <c r="J597" s="145"/>
      <c r="K597" s="145"/>
      <c r="L597" s="154"/>
      <c r="M597" s="155"/>
      <c r="N597" s="144"/>
      <c r="O597" s="144"/>
      <c r="P597" s="144"/>
      <c r="Q597" s="145"/>
      <c r="R597" s="145"/>
      <c r="S597" s="154"/>
      <c r="T597" s="155"/>
      <c r="U597" s="144"/>
      <c r="V597" s="144"/>
    </row>
    <row r="598" spans="1:22" ht="14" x14ac:dyDescent="0.15">
      <c r="A598" s="144"/>
      <c r="B598" s="144"/>
      <c r="C598" s="145"/>
      <c r="D598" s="145"/>
      <c r="E598" s="148"/>
      <c r="F598" s="155"/>
      <c r="G598" s="144"/>
      <c r="H598" s="144"/>
      <c r="I598" s="144"/>
      <c r="J598" s="145"/>
      <c r="K598" s="145"/>
      <c r="L598" s="154"/>
      <c r="M598" s="155"/>
      <c r="N598" s="144"/>
      <c r="O598" s="144"/>
      <c r="P598" s="144"/>
      <c r="Q598" s="145"/>
      <c r="R598" s="145"/>
      <c r="S598" s="154"/>
      <c r="T598" s="155"/>
      <c r="U598" s="144"/>
      <c r="V598" s="144"/>
    </row>
    <row r="599" spans="1:22" ht="14" x14ac:dyDescent="0.15">
      <c r="A599" s="144"/>
      <c r="B599" s="144"/>
      <c r="C599" s="145"/>
      <c r="D599" s="145"/>
      <c r="E599" s="148"/>
      <c r="F599" s="155"/>
      <c r="G599" s="144"/>
      <c r="H599" s="144"/>
      <c r="I599" s="144"/>
      <c r="J599" s="145"/>
      <c r="K599" s="145"/>
      <c r="L599" s="154"/>
      <c r="M599" s="155"/>
      <c r="N599" s="144"/>
      <c r="O599" s="144"/>
      <c r="P599" s="144"/>
      <c r="Q599" s="145"/>
      <c r="R599" s="145"/>
      <c r="S599" s="154"/>
      <c r="T599" s="155"/>
      <c r="U599" s="144"/>
      <c r="V599" s="144"/>
    </row>
    <row r="600" spans="1:22" ht="14" x14ac:dyDescent="0.15">
      <c r="A600" s="144"/>
      <c r="B600" s="144"/>
      <c r="C600" s="145"/>
      <c r="D600" s="145"/>
      <c r="E600" s="148"/>
      <c r="F600" s="155"/>
      <c r="G600" s="144"/>
      <c r="H600" s="144"/>
      <c r="I600" s="144"/>
      <c r="J600" s="145"/>
      <c r="K600" s="145"/>
      <c r="L600" s="154"/>
      <c r="M600" s="155"/>
      <c r="N600" s="144"/>
      <c r="O600" s="144"/>
      <c r="P600" s="144"/>
      <c r="Q600" s="145"/>
      <c r="R600" s="145"/>
      <c r="S600" s="154"/>
      <c r="T600" s="155"/>
      <c r="U600" s="144"/>
      <c r="V600" s="144"/>
    </row>
    <row r="601" spans="1:22" ht="14" x14ac:dyDescent="0.15">
      <c r="A601" s="144"/>
      <c r="B601" s="144"/>
      <c r="C601" s="145"/>
      <c r="D601" s="145"/>
      <c r="E601" s="148"/>
      <c r="F601" s="155"/>
      <c r="G601" s="144"/>
      <c r="H601" s="144"/>
      <c r="I601" s="144"/>
      <c r="J601" s="145"/>
      <c r="K601" s="145"/>
      <c r="L601" s="154"/>
      <c r="M601" s="155"/>
      <c r="N601" s="144"/>
      <c r="O601" s="144"/>
      <c r="P601" s="144"/>
      <c r="Q601" s="145"/>
      <c r="R601" s="145"/>
      <c r="S601" s="154"/>
      <c r="T601" s="155"/>
      <c r="U601" s="144"/>
      <c r="V601" s="144"/>
    </row>
    <row r="602" spans="1:22" ht="14" x14ac:dyDescent="0.15">
      <c r="A602" s="144"/>
      <c r="B602" s="144"/>
      <c r="C602" s="145"/>
      <c r="D602" s="145"/>
      <c r="E602" s="148"/>
      <c r="F602" s="155"/>
      <c r="G602" s="144"/>
      <c r="H602" s="144"/>
      <c r="I602" s="144"/>
      <c r="J602" s="145"/>
      <c r="K602" s="145"/>
      <c r="L602" s="154"/>
      <c r="M602" s="155"/>
      <c r="N602" s="144"/>
      <c r="O602" s="144"/>
      <c r="P602" s="144"/>
      <c r="Q602" s="145"/>
      <c r="R602" s="145"/>
      <c r="S602" s="154"/>
      <c r="T602" s="155"/>
      <c r="U602" s="144"/>
      <c r="V602" s="144"/>
    </row>
    <row r="603" spans="1:22" ht="14" x14ac:dyDescent="0.15">
      <c r="A603" s="144"/>
      <c r="B603" s="144"/>
      <c r="C603" s="145"/>
      <c r="D603" s="145"/>
      <c r="E603" s="148"/>
      <c r="F603" s="155"/>
      <c r="G603" s="144"/>
      <c r="H603" s="144"/>
      <c r="I603" s="144"/>
      <c r="J603" s="145"/>
      <c r="K603" s="145"/>
      <c r="L603" s="154"/>
      <c r="M603" s="155"/>
      <c r="N603" s="144"/>
      <c r="O603" s="144"/>
      <c r="P603" s="144"/>
      <c r="Q603" s="145"/>
      <c r="R603" s="145"/>
      <c r="S603" s="154"/>
      <c r="T603" s="155"/>
      <c r="U603" s="144"/>
      <c r="V603" s="144"/>
    </row>
    <row r="604" spans="1:22" ht="14" x14ac:dyDescent="0.15">
      <c r="A604" s="144"/>
      <c r="B604" s="144"/>
      <c r="C604" s="145"/>
      <c r="D604" s="145"/>
      <c r="E604" s="148"/>
      <c r="F604" s="155"/>
      <c r="G604" s="144"/>
      <c r="H604" s="144"/>
      <c r="I604" s="144"/>
      <c r="J604" s="145"/>
      <c r="K604" s="145"/>
      <c r="L604" s="154"/>
      <c r="M604" s="155"/>
      <c r="N604" s="144"/>
      <c r="O604" s="144"/>
      <c r="P604" s="144"/>
      <c r="Q604" s="145"/>
      <c r="R604" s="145"/>
      <c r="S604" s="154"/>
      <c r="T604" s="155"/>
      <c r="U604" s="144"/>
      <c r="V604" s="144"/>
    </row>
    <row r="605" spans="1:22" ht="14" x14ac:dyDescent="0.15">
      <c r="A605" s="144"/>
      <c r="B605" s="144"/>
      <c r="C605" s="145"/>
      <c r="D605" s="145"/>
      <c r="E605" s="148"/>
      <c r="F605" s="155"/>
      <c r="G605" s="144"/>
      <c r="H605" s="144"/>
      <c r="I605" s="144"/>
      <c r="J605" s="145"/>
      <c r="K605" s="145"/>
      <c r="L605" s="154"/>
      <c r="M605" s="155"/>
      <c r="N605" s="144"/>
      <c r="O605" s="144"/>
      <c r="P605" s="144"/>
      <c r="Q605" s="145"/>
      <c r="R605" s="145"/>
      <c r="S605" s="154"/>
      <c r="T605" s="155"/>
      <c r="U605" s="144"/>
      <c r="V605" s="144"/>
    </row>
    <row r="606" spans="1:22" ht="14" x14ac:dyDescent="0.15">
      <c r="A606" s="144"/>
      <c r="B606" s="144"/>
      <c r="C606" s="145"/>
      <c r="D606" s="145"/>
      <c r="E606" s="148"/>
      <c r="F606" s="155"/>
      <c r="G606" s="144"/>
      <c r="H606" s="144"/>
      <c r="I606" s="144"/>
      <c r="J606" s="145"/>
      <c r="K606" s="145"/>
      <c r="L606" s="154"/>
      <c r="M606" s="155"/>
      <c r="N606" s="144"/>
      <c r="O606" s="144"/>
      <c r="P606" s="144"/>
      <c r="Q606" s="145"/>
      <c r="R606" s="145"/>
      <c r="S606" s="154"/>
      <c r="T606" s="155"/>
      <c r="U606" s="144"/>
      <c r="V606" s="144"/>
    </row>
    <row r="607" spans="1:22" ht="14" x14ac:dyDescent="0.15">
      <c r="A607" s="144"/>
      <c r="B607" s="144"/>
      <c r="C607" s="145"/>
      <c r="D607" s="145"/>
      <c r="E607" s="148"/>
      <c r="F607" s="155"/>
      <c r="G607" s="144"/>
      <c r="H607" s="144"/>
      <c r="I607" s="144"/>
      <c r="J607" s="145"/>
      <c r="K607" s="145"/>
      <c r="L607" s="154"/>
      <c r="M607" s="155"/>
      <c r="N607" s="144"/>
      <c r="O607" s="144"/>
      <c r="P607" s="144"/>
      <c r="Q607" s="145"/>
      <c r="R607" s="145"/>
      <c r="S607" s="154"/>
      <c r="T607" s="155"/>
      <c r="U607" s="144"/>
      <c r="V607" s="144"/>
    </row>
    <row r="608" spans="1:22" ht="14" x14ac:dyDescent="0.15">
      <c r="A608" s="144"/>
      <c r="B608" s="144"/>
      <c r="C608" s="145"/>
      <c r="D608" s="145"/>
      <c r="E608" s="148"/>
      <c r="F608" s="155"/>
      <c r="G608" s="144"/>
      <c r="H608" s="144"/>
      <c r="I608" s="144"/>
      <c r="J608" s="145"/>
      <c r="K608" s="145"/>
      <c r="L608" s="154"/>
      <c r="M608" s="155"/>
      <c r="N608" s="144"/>
      <c r="O608" s="144"/>
      <c r="P608" s="144"/>
      <c r="Q608" s="145"/>
      <c r="R608" s="145"/>
      <c r="S608" s="154"/>
      <c r="T608" s="155"/>
      <c r="U608" s="144"/>
      <c r="V608" s="144"/>
    </row>
    <row r="609" spans="1:22" ht="14" x14ac:dyDescent="0.15">
      <c r="A609" s="144"/>
      <c r="B609" s="144"/>
      <c r="C609" s="145"/>
      <c r="D609" s="145"/>
      <c r="E609" s="148"/>
      <c r="F609" s="155"/>
      <c r="G609" s="144"/>
      <c r="H609" s="144"/>
      <c r="I609" s="144"/>
      <c r="J609" s="145"/>
      <c r="K609" s="145"/>
      <c r="L609" s="154"/>
      <c r="M609" s="155"/>
      <c r="N609" s="144"/>
      <c r="O609" s="144"/>
      <c r="P609" s="144"/>
      <c r="Q609" s="145"/>
      <c r="R609" s="145"/>
      <c r="S609" s="154"/>
      <c r="T609" s="155"/>
      <c r="U609" s="144"/>
      <c r="V609" s="144"/>
    </row>
    <row r="610" spans="1:22" ht="14" x14ac:dyDescent="0.15">
      <c r="A610" s="144"/>
      <c r="B610" s="144"/>
      <c r="C610" s="145"/>
      <c r="D610" s="145"/>
      <c r="E610" s="148"/>
      <c r="F610" s="155"/>
      <c r="G610" s="144"/>
      <c r="H610" s="144"/>
      <c r="I610" s="144"/>
      <c r="J610" s="145"/>
      <c r="K610" s="145"/>
      <c r="L610" s="154"/>
      <c r="M610" s="155"/>
      <c r="N610" s="144"/>
      <c r="O610" s="144"/>
      <c r="P610" s="144"/>
      <c r="Q610" s="145"/>
      <c r="R610" s="145"/>
      <c r="S610" s="154"/>
      <c r="T610" s="155"/>
      <c r="U610" s="144"/>
      <c r="V610" s="144"/>
    </row>
    <row r="611" spans="1:22" ht="14" x14ac:dyDescent="0.15">
      <c r="A611" s="144"/>
      <c r="B611" s="144"/>
      <c r="C611" s="145"/>
      <c r="D611" s="145"/>
      <c r="E611" s="148"/>
      <c r="F611" s="155"/>
      <c r="G611" s="144"/>
      <c r="H611" s="144"/>
      <c r="I611" s="144"/>
      <c r="J611" s="145"/>
      <c r="K611" s="145"/>
      <c r="L611" s="154"/>
      <c r="M611" s="155"/>
      <c r="N611" s="144"/>
      <c r="O611" s="144"/>
      <c r="P611" s="144"/>
      <c r="Q611" s="145"/>
      <c r="R611" s="145"/>
      <c r="S611" s="154"/>
      <c r="T611" s="155"/>
      <c r="U611" s="144"/>
      <c r="V611" s="144"/>
    </row>
    <row r="612" spans="1:22" ht="14" x14ac:dyDescent="0.15">
      <c r="A612" s="144"/>
      <c r="B612" s="144"/>
      <c r="C612" s="145"/>
      <c r="D612" s="145"/>
      <c r="E612" s="148"/>
      <c r="F612" s="155"/>
      <c r="G612" s="144"/>
      <c r="H612" s="144"/>
      <c r="I612" s="144"/>
      <c r="J612" s="145"/>
      <c r="K612" s="145"/>
      <c r="L612" s="154"/>
      <c r="M612" s="155"/>
      <c r="N612" s="144"/>
      <c r="O612" s="144"/>
      <c r="P612" s="144"/>
      <c r="Q612" s="145"/>
      <c r="R612" s="145"/>
      <c r="S612" s="154"/>
      <c r="T612" s="155"/>
      <c r="U612" s="144"/>
      <c r="V612" s="144"/>
    </row>
    <row r="613" spans="1:22" ht="14" x14ac:dyDescent="0.15">
      <c r="A613" s="144"/>
      <c r="B613" s="144"/>
      <c r="C613" s="145"/>
      <c r="D613" s="145"/>
      <c r="E613" s="148"/>
      <c r="F613" s="155"/>
      <c r="G613" s="144"/>
      <c r="H613" s="144"/>
      <c r="I613" s="144"/>
      <c r="J613" s="145"/>
      <c r="K613" s="145"/>
      <c r="L613" s="154"/>
      <c r="M613" s="155"/>
      <c r="N613" s="144"/>
      <c r="O613" s="144"/>
      <c r="P613" s="144"/>
      <c r="Q613" s="145"/>
      <c r="R613" s="145"/>
      <c r="S613" s="154"/>
      <c r="T613" s="155"/>
      <c r="U613" s="144"/>
      <c r="V613" s="144"/>
    </row>
    <row r="614" spans="1:22" ht="14" x14ac:dyDescent="0.15">
      <c r="A614" s="144"/>
      <c r="B614" s="144"/>
      <c r="C614" s="145"/>
      <c r="D614" s="145"/>
      <c r="E614" s="148"/>
      <c r="F614" s="155"/>
      <c r="G614" s="144"/>
      <c r="H614" s="144"/>
      <c r="I614" s="144"/>
      <c r="J614" s="145"/>
      <c r="K614" s="145"/>
      <c r="L614" s="154"/>
      <c r="M614" s="155"/>
      <c r="N614" s="144"/>
      <c r="O614" s="144"/>
      <c r="P614" s="144"/>
      <c r="Q614" s="145"/>
      <c r="R614" s="145"/>
      <c r="S614" s="154"/>
      <c r="T614" s="155"/>
      <c r="U614" s="144"/>
      <c r="V614" s="144"/>
    </row>
    <row r="615" spans="1:22" ht="14" x14ac:dyDescent="0.15">
      <c r="A615" s="144"/>
      <c r="B615" s="144"/>
      <c r="C615" s="145"/>
      <c r="D615" s="145"/>
      <c r="E615" s="148"/>
      <c r="F615" s="155"/>
      <c r="G615" s="144"/>
      <c r="H615" s="144"/>
      <c r="I615" s="144"/>
      <c r="J615" s="145"/>
      <c r="K615" s="145"/>
      <c r="L615" s="154"/>
      <c r="M615" s="155"/>
      <c r="N615" s="144"/>
      <c r="O615" s="144"/>
      <c r="P615" s="144"/>
      <c r="Q615" s="145"/>
      <c r="R615" s="145"/>
      <c r="S615" s="154"/>
      <c r="T615" s="155"/>
      <c r="U615" s="144"/>
      <c r="V615" s="144"/>
    </row>
    <row r="616" spans="1:22" ht="14" x14ac:dyDescent="0.15">
      <c r="A616" s="144"/>
      <c r="B616" s="144"/>
      <c r="C616" s="145"/>
      <c r="D616" s="145"/>
      <c r="E616" s="148"/>
      <c r="F616" s="155"/>
      <c r="G616" s="144"/>
      <c r="H616" s="144"/>
      <c r="I616" s="144"/>
      <c r="J616" s="145"/>
      <c r="K616" s="145"/>
      <c r="L616" s="154"/>
      <c r="M616" s="155"/>
      <c r="N616" s="144"/>
      <c r="O616" s="144"/>
      <c r="P616" s="144"/>
      <c r="Q616" s="145"/>
      <c r="R616" s="145"/>
      <c r="S616" s="154"/>
      <c r="T616" s="155"/>
      <c r="U616" s="144"/>
      <c r="V616" s="144"/>
    </row>
    <row r="617" spans="1:22" ht="14" x14ac:dyDescent="0.15">
      <c r="A617" s="144"/>
      <c r="B617" s="144"/>
      <c r="C617" s="145"/>
      <c r="D617" s="145"/>
      <c r="E617" s="148"/>
      <c r="F617" s="155"/>
      <c r="G617" s="144"/>
      <c r="H617" s="144"/>
      <c r="I617" s="144"/>
      <c r="J617" s="145"/>
      <c r="K617" s="145"/>
      <c r="L617" s="154"/>
      <c r="M617" s="155"/>
      <c r="N617" s="144"/>
      <c r="O617" s="144"/>
      <c r="P617" s="144"/>
      <c r="Q617" s="145"/>
      <c r="R617" s="145"/>
      <c r="S617" s="154"/>
      <c r="T617" s="155"/>
      <c r="U617" s="144"/>
      <c r="V617" s="144"/>
    </row>
    <row r="618" spans="1:22" ht="14" x14ac:dyDescent="0.15">
      <c r="A618" s="144"/>
      <c r="B618" s="144"/>
      <c r="C618" s="145"/>
      <c r="D618" s="145"/>
      <c r="E618" s="148"/>
      <c r="F618" s="155"/>
      <c r="G618" s="144"/>
      <c r="H618" s="144"/>
      <c r="I618" s="144"/>
      <c r="J618" s="145"/>
      <c r="K618" s="145"/>
      <c r="L618" s="154"/>
      <c r="M618" s="155"/>
      <c r="N618" s="144"/>
      <c r="O618" s="144"/>
      <c r="P618" s="144"/>
      <c r="Q618" s="145"/>
      <c r="R618" s="145"/>
      <c r="S618" s="154"/>
      <c r="T618" s="155"/>
      <c r="U618" s="144"/>
      <c r="V618" s="144"/>
    </row>
    <row r="619" spans="1:22" ht="14" x14ac:dyDescent="0.15">
      <c r="A619" s="144"/>
      <c r="B619" s="144"/>
      <c r="C619" s="145"/>
      <c r="D619" s="145"/>
      <c r="E619" s="148"/>
      <c r="F619" s="155"/>
      <c r="G619" s="144"/>
      <c r="H619" s="144"/>
      <c r="I619" s="144"/>
      <c r="J619" s="145"/>
      <c r="K619" s="145"/>
      <c r="L619" s="154"/>
      <c r="M619" s="155"/>
      <c r="N619" s="144"/>
      <c r="O619" s="144"/>
      <c r="P619" s="144"/>
      <c r="Q619" s="145"/>
      <c r="R619" s="145"/>
      <c r="S619" s="154"/>
      <c r="T619" s="155"/>
      <c r="U619" s="144"/>
      <c r="V619" s="144"/>
    </row>
    <row r="620" spans="1:22" ht="14" x14ac:dyDescent="0.15">
      <c r="A620" s="144"/>
      <c r="B620" s="144"/>
      <c r="C620" s="145"/>
      <c r="D620" s="145"/>
      <c r="E620" s="148"/>
      <c r="F620" s="155"/>
      <c r="G620" s="144"/>
      <c r="H620" s="144"/>
      <c r="I620" s="144"/>
      <c r="J620" s="145"/>
      <c r="K620" s="145"/>
      <c r="L620" s="154"/>
      <c r="M620" s="155"/>
      <c r="N620" s="144"/>
      <c r="O620" s="144"/>
      <c r="P620" s="144"/>
      <c r="Q620" s="145"/>
      <c r="R620" s="145"/>
      <c r="S620" s="154"/>
      <c r="T620" s="155"/>
      <c r="U620" s="144"/>
      <c r="V620" s="144"/>
    </row>
    <row r="621" spans="1:22" ht="14" x14ac:dyDescent="0.15">
      <c r="A621" s="144"/>
      <c r="B621" s="144"/>
      <c r="C621" s="145"/>
      <c r="D621" s="145"/>
      <c r="E621" s="148"/>
      <c r="F621" s="155"/>
      <c r="G621" s="144"/>
      <c r="H621" s="144"/>
      <c r="I621" s="144"/>
      <c r="J621" s="145"/>
      <c r="K621" s="145"/>
      <c r="L621" s="154"/>
      <c r="M621" s="155"/>
      <c r="N621" s="144"/>
      <c r="O621" s="144"/>
      <c r="P621" s="144"/>
      <c r="Q621" s="145"/>
      <c r="R621" s="145"/>
      <c r="S621" s="154"/>
      <c r="T621" s="155"/>
      <c r="U621" s="144"/>
      <c r="V621" s="144"/>
    </row>
    <row r="622" spans="1:22" ht="14" x14ac:dyDescent="0.15">
      <c r="A622" s="144"/>
      <c r="B622" s="144"/>
      <c r="C622" s="145"/>
      <c r="D622" s="145"/>
      <c r="E622" s="148"/>
      <c r="F622" s="155"/>
      <c r="G622" s="144"/>
      <c r="H622" s="144"/>
      <c r="I622" s="144"/>
      <c r="J622" s="145"/>
      <c r="K622" s="145"/>
      <c r="L622" s="154"/>
      <c r="M622" s="155"/>
      <c r="N622" s="144"/>
      <c r="O622" s="144"/>
      <c r="P622" s="144"/>
      <c r="Q622" s="145"/>
      <c r="R622" s="145"/>
      <c r="S622" s="154"/>
      <c r="T622" s="155"/>
      <c r="U622" s="144"/>
      <c r="V622" s="144"/>
    </row>
    <row r="623" spans="1:22" ht="14" x14ac:dyDescent="0.15">
      <c r="A623" s="144"/>
      <c r="B623" s="144"/>
      <c r="C623" s="145"/>
      <c r="D623" s="145"/>
      <c r="E623" s="148"/>
      <c r="F623" s="155"/>
      <c r="G623" s="144"/>
      <c r="H623" s="144"/>
      <c r="I623" s="144"/>
      <c r="J623" s="145"/>
      <c r="K623" s="145"/>
      <c r="L623" s="154"/>
      <c r="M623" s="155"/>
      <c r="N623" s="144"/>
      <c r="O623" s="144"/>
      <c r="P623" s="144"/>
      <c r="Q623" s="145"/>
      <c r="R623" s="145"/>
      <c r="S623" s="154"/>
      <c r="T623" s="155"/>
      <c r="U623" s="144"/>
      <c r="V623" s="144"/>
    </row>
    <row r="624" spans="1:22" ht="14" x14ac:dyDescent="0.15">
      <c r="A624" s="144"/>
      <c r="B624" s="144"/>
      <c r="C624" s="145"/>
      <c r="D624" s="145"/>
      <c r="E624" s="148"/>
      <c r="F624" s="155"/>
      <c r="G624" s="144"/>
      <c r="H624" s="144"/>
      <c r="I624" s="144"/>
      <c r="J624" s="145"/>
      <c r="K624" s="145"/>
      <c r="L624" s="154"/>
      <c r="M624" s="155"/>
      <c r="N624" s="144"/>
      <c r="O624" s="144"/>
      <c r="P624" s="144"/>
      <c r="Q624" s="145"/>
      <c r="R624" s="145"/>
      <c r="S624" s="154"/>
      <c r="T624" s="155"/>
      <c r="U624" s="144"/>
      <c r="V624" s="144"/>
    </row>
    <row r="625" spans="1:22" ht="14" x14ac:dyDescent="0.15">
      <c r="A625" s="144"/>
      <c r="B625" s="144"/>
      <c r="C625" s="145"/>
      <c r="D625" s="145"/>
      <c r="E625" s="148"/>
      <c r="F625" s="155"/>
      <c r="G625" s="144"/>
      <c r="H625" s="144"/>
      <c r="I625" s="144"/>
      <c r="J625" s="145"/>
      <c r="K625" s="145"/>
      <c r="L625" s="154"/>
      <c r="M625" s="155"/>
      <c r="N625" s="144"/>
      <c r="O625" s="144"/>
      <c r="P625" s="144"/>
      <c r="Q625" s="145"/>
      <c r="R625" s="145"/>
      <c r="S625" s="154"/>
      <c r="T625" s="155"/>
      <c r="U625" s="144"/>
      <c r="V625" s="144"/>
    </row>
    <row r="626" spans="1:22" ht="14" x14ac:dyDescent="0.15">
      <c r="A626" s="144"/>
      <c r="B626" s="144"/>
      <c r="C626" s="145"/>
      <c r="D626" s="145"/>
      <c r="E626" s="148"/>
      <c r="F626" s="155"/>
      <c r="G626" s="144"/>
      <c r="H626" s="144"/>
      <c r="I626" s="144"/>
      <c r="J626" s="145"/>
      <c r="K626" s="145"/>
      <c r="L626" s="154"/>
      <c r="M626" s="155"/>
      <c r="N626" s="144"/>
      <c r="O626" s="144"/>
      <c r="P626" s="144"/>
      <c r="Q626" s="145"/>
      <c r="R626" s="145"/>
      <c r="S626" s="154"/>
      <c r="T626" s="155"/>
      <c r="U626" s="144"/>
      <c r="V626" s="144"/>
    </row>
  </sheetData>
  <mergeCells count="9">
    <mergeCell ref="Q2:T2"/>
    <mergeCell ref="Q3:T3"/>
    <mergeCell ref="C1:F1"/>
    <mergeCell ref="J1:M1"/>
    <mergeCell ref="Q1:T1"/>
    <mergeCell ref="C2:F2"/>
    <mergeCell ref="J2:M2"/>
    <mergeCell ref="C3:F3"/>
    <mergeCell ref="J3:M3"/>
  </mergeCells>
  <hyperlinks>
    <hyperlink ref="E5" r:id="rId1" display="https://www.linkedin.com/learning/building-an-integrated-online-marketing-plan-2" xr:uid="{00000000-0004-0000-0600-000000000000}"/>
    <hyperlink ref="F5" r:id="rId2" display="https://www.linkedin.com/learning/paths/become-a-content-strategist-2" xr:uid="{00000000-0004-0000-0600-000001000000}"/>
    <hyperlink ref="L5" r:id="rId3" display="https://www.linkedin.com/learning/building-creative-organizations-2019" xr:uid="{00000000-0004-0000-0600-000002000000}"/>
    <hyperlink ref="M5" r:id="rId4" display="https://www.linkedin.com/learning/paths/fostering-innovation" xr:uid="{00000000-0004-0000-0600-000003000000}"/>
    <hyperlink ref="S5" r:id="rId5" display="https://www.linkedin.com/learning/critical-thinking-for-better-judgment-and-decision-making" xr:uid="{00000000-0004-0000-0600-000004000000}"/>
    <hyperlink ref="T5" r:id="rId6" display="https://www.linkedin.com/learning/paths/improve-your-problem-solving-skills" xr:uid="{00000000-0004-0000-0600-000005000000}"/>
    <hyperlink ref="E6" r:id="rId7" display="https://www.linkedin.com/learning/value-based-pricing-2019" xr:uid="{00000000-0004-0000-0600-000006000000}"/>
    <hyperlink ref="F6" r:id="rId8" display="https://www.linkedin.com/learning/paths/become-a-digital-advertising-specialist" xr:uid="{00000000-0004-0000-0600-000007000000}"/>
    <hyperlink ref="L6" r:id="rId9" display="https://www.linkedin.com/learning/business-innovation-foundations" xr:uid="{00000000-0004-0000-0600-000008000000}"/>
    <hyperlink ref="M6" r:id="rId10" display="https://www.linkedin.com/learning/paths/improve-your-creativity-skills?u=104" xr:uid="{00000000-0004-0000-0600-000009000000}"/>
    <hyperlink ref="S6" r:id="rId11" display="https://www.linkedin.com/learning/privacy-in-the-age-of-covid-19" xr:uid="{00000000-0004-0000-0600-00000A000000}"/>
    <hyperlink ref="T6" r:id="rId12" display="https://www.linkedin.com/learning/paths/master-in-demand-professional-soft-skills?u=104" xr:uid="{00000000-0004-0000-0600-00000B000000}"/>
    <hyperlink ref="E7" r:id="rId13" display="https://www.linkedin.com/learning/advanced-seo-search-factors-2019" xr:uid="{00000000-0004-0000-0600-00000C000000}"/>
    <hyperlink ref="F7" r:id="rId14" display="https://www.linkedin.com/learning/paths/become-a-digital-marketer" xr:uid="{00000000-0004-0000-0600-00000D000000}"/>
    <hyperlink ref="L7" r:id="rId15" display="https://www.linkedin.com/learning/creative-thinking" xr:uid="{00000000-0004-0000-0600-00000E000000}"/>
    <hyperlink ref="M7" r:id="rId16" display="https://www.linkedin.com/learning/paths/improve-your-problem-solving-skills" xr:uid="{00000000-0004-0000-0600-00000F000000}"/>
    <hyperlink ref="S7" r:id="rId17" display="https://www.linkedin.com/learning/the-undercover-economist-the-economics-behind-everyday-decisions-blinkist-summary" xr:uid="{00000000-0004-0000-0600-000010000000}"/>
    <hyperlink ref="T7" r:id="rId18" display="https://www.linkedin.com/learning/paths/improve-your-organizational-skills" xr:uid="{00000000-0004-0000-0600-000011000000}"/>
    <hyperlink ref="E8" r:id="rId19" display="https://www.linkedin.com/learning/advanced-product-marketing" xr:uid="{00000000-0004-0000-0600-000012000000}"/>
    <hyperlink ref="F8" r:id="rId20" display="https://www.linkedin.com/learning/paths/become-a-digital-marketing-specialist" xr:uid="{00000000-0004-0000-0600-000013000000}"/>
    <hyperlink ref="L8" r:id="rId21" display="https://www.linkedin.com/learning/creativity-bootcamp" xr:uid="{00000000-0004-0000-0600-000014000000}"/>
    <hyperlink ref="M8" r:id="rId22" display="https://www.linkedin.com/learning/paths/stay-competitive-using-design-thinking" xr:uid="{00000000-0004-0000-0600-000015000000}"/>
    <hyperlink ref="S8" r:id="rId23" display="https://www.linkedin.com/learning/building-resilience" xr:uid="{00000000-0004-0000-0600-000016000000}"/>
    <hyperlink ref="T8" r:id="rId24" display="https://www.linkedin.com/learning/paths/develop-critical-thinking-decision-making-and-problem-solving-skills" xr:uid="{00000000-0004-0000-0600-000017000000}"/>
    <hyperlink ref="E9" r:id="rId25" display="https://www.linkedin.com/learning/advanced-lead-generation-2019" xr:uid="{00000000-0004-0000-0600-000018000000}"/>
    <hyperlink ref="F9" r:id="rId26" display="https://www.linkedin.com/learning/paths/become-a-marketing-coordinator" xr:uid="{00000000-0004-0000-0600-000019000000}"/>
    <hyperlink ref="L9" r:id="rId27" display="https://www.linkedin.com/learning/creativity-for-all" xr:uid="{00000000-0004-0000-0600-00001A000000}"/>
    <hyperlink ref="M9" r:id="rId28" display="https://www.linkedin.com/learning/paths/working-with-creatives-2" xr:uid="{00000000-0004-0000-0600-00001B000000}"/>
    <hyperlink ref="S9" r:id="rId29" display="https://www.linkedin.com/learning/critical-thinking" xr:uid="{00000000-0004-0000-0600-00001C000000}"/>
    <hyperlink ref="E10" r:id="rId30" display="https://www.linkedin.com/learning/advanced-google-analytics" xr:uid="{00000000-0004-0000-0600-00001D000000}"/>
    <hyperlink ref="F10" r:id="rId31" display="https://www.linkedin.com/learning/paths/become-a-marketing-manager" xr:uid="{00000000-0004-0000-0600-00001E000000}"/>
    <hyperlink ref="L10" r:id="rId32" display="https://www.linkedin.com/learning/gary-hamel-on-busting-bureaucracy/welcome" xr:uid="{00000000-0004-0000-0600-00001F000000}"/>
    <hyperlink ref="M10" r:id="rId33" display="https://www.linkedin.com/learning/paths/stay-competitive-using-design-thinking" xr:uid="{00000000-0004-0000-0600-000020000000}"/>
    <hyperlink ref="S10" r:id="rId34" display="https://www.linkedin.com/learning/cultivating-a-growth-mindset" xr:uid="{00000000-0004-0000-0600-000021000000}"/>
    <hyperlink ref="E11" r:id="rId35" display="https://www.linkedin.com/learning/advertising-on-facebook-advanced-2020" xr:uid="{00000000-0004-0000-0600-000022000000}"/>
    <hyperlink ref="F11" r:id="rId36" display="https://www.linkedin.com/learning/paths/become-a-marketing-specialist-2" xr:uid="{00000000-0004-0000-0600-000023000000}"/>
    <hyperlink ref="L11" r:id="rId37" display="https://www.linkedin.com/learning/jeff-dyer-on-innovation" xr:uid="{00000000-0004-0000-0600-000024000000}"/>
    <hyperlink ref="M11" r:id="rId38" display="https://www.linkedin.com/learning/paths/develop-your-creative-thinking-and-innovation-skills" xr:uid="{00000000-0004-0000-0600-000025000000}"/>
    <hyperlink ref="S11" r:id="rId39" display="https://www.linkedin.com/learning/decision-making-strategies" xr:uid="{00000000-0004-0000-0600-000026000000}"/>
    <hyperlink ref="E12" r:id="rId40" display="https://www.linkedin.com/learning/advanced-content-marketing" xr:uid="{00000000-0004-0000-0600-000027000000}"/>
    <hyperlink ref="F12" r:id="rId41" display="https://www.linkedin.com/learning/paths/become-a-public-relations-specialist" xr:uid="{00000000-0004-0000-0600-000028000000}"/>
    <hyperlink ref="L12" r:id="rId42" display="https://www.linkedin.com/learning/learning-brainstorming" xr:uid="{00000000-0004-0000-0600-000029000000}"/>
    <hyperlink ref="S12" r:id="rId43" display="https://www.linkedin.com/learning/delivering-results-effectively" xr:uid="{00000000-0004-0000-0600-00002A000000}"/>
    <hyperlink ref="E13" r:id="rId44" display="https://www.linkedin.com/learning/advanced-google-ads-2020" xr:uid="{00000000-0004-0000-0600-00002B000000}"/>
    <hyperlink ref="F13" r:id="rId45" display="https://www.linkedin.com/learning/paths/become-a-social-media-advertising-specialist" xr:uid="{00000000-0004-0000-0600-00002C000000}"/>
    <hyperlink ref="L13" r:id="rId46" display="https://www.linkedin.com/learning/take-a-more-creative-approach-to-problem-solving" xr:uid="{00000000-0004-0000-0600-00002D000000}"/>
    <hyperlink ref="S13" r:id="rId47" display="https://www.linkedin.com/learning/developing-a-learning-mindset" xr:uid="{00000000-0004-0000-0600-00002E000000}"/>
    <hyperlink ref="E14" r:id="rId48" display="https://www.linkedin.com/learning/seo-link-building-revision-2020" xr:uid="{00000000-0004-0000-0600-00002F000000}"/>
    <hyperlink ref="F14" r:id="rId49" display="https://www.linkedin.com/learning/paths/become-a-social-media-marketer" xr:uid="{00000000-0004-0000-0600-000030000000}"/>
    <hyperlink ref="L14" r:id="rId50" display="https://www.linkedin.com/learning/the-five-step-creative-process/welcome" xr:uid="{00000000-0004-0000-0600-000031000000}"/>
    <hyperlink ref="S14" r:id="rId51" display="https://www.linkedin.com/learning/enhancing-resilience" xr:uid="{00000000-0004-0000-0600-000032000000}"/>
    <hyperlink ref="E15" r:id="rId52" display="https://www.linkedin.com/learning/b2b-foundations-social-media-marketing" xr:uid="{00000000-0004-0000-0600-000033000000}"/>
    <hyperlink ref="F15" r:id="rId53" display="https://www.linkedin.com/learning/paths/become-an-ama-professional-certified-marketer-in-digital-marketing" xr:uid="{00000000-0004-0000-0600-000034000000}"/>
    <hyperlink ref="L15" r:id="rId54" display="https://www.linkedin.com/learning/unlock-your-team-s-creativity" xr:uid="{00000000-0004-0000-0600-000035000000}"/>
    <hyperlink ref="S15" r:id="rId55" display="https://www.linkedin.com/learning/enhancing-your-productivity" xr:uid="{00000000-0004-0000-0600-000036000000}"/>
    <hyperlink ref="E16" r:id="rId56" display="https://www.linkedin.com/learning/digital-marketing-trends" xr:uid="{00000000-0004-0000-0600-000037000000}"/>
    <hyperlink ref="F16" r:id="rId57" display="https://www.linkedin.com/learning/paths/become-an-online-marketing-manager" xr:uid="{00000000-0004-0000-0600-000038000000}"/>
    <hyperlink ref="L16" r:id="rId58" display="https://www.linkedin.com/learning/working-with-creatives" xr:uid="{00000000-0004-0000-0600-000039000000}"/>
    <hyperlink ref="S16" r:id="rId59" display="https://www.linkedin.com/learning/fred-kofman-on-making-commitments" xr:uid="{00000000-0004-0000-0600-00003A000000}"/>
    <hyperlink ref="E17" r:id="rId60" display="https://www.linkedin.com/learning/growth-hacking-foundations" xr:uid="{00000000-0004-0000-0600-00003B000000}"/>
    <hyperlink ref="F17" r:id="rId61" display="https://www.linkedin.com/learning/paths/develop-your-marketing-skills" xr:uid="{00000000-0004-0000-0600-00003C000000}"/>
    <hyperlink ref="L17" r:id="rId62" display="https://www.linkedin.com/learning/building-a-creative-online-community" xr:uid="{00000000-0004-0000-0600-00003D000000}"/>
    <hyperlink ref="S17" r:id="rId63" display="https://www.linkedin.com/learning/ideas-that-resonate" xr:uid="{00000000-0004-0000-0600-00003E000000}"/>
    <hyperlink ref="E18" r:id="rId64" display="https://www.linkedin.com/learning/jonah-berger-on-viral-marketing/welcome" xr:uid="{00000000-0004-0000-0600-00003F000000}"/>
    <hyperlink ref="F18" r:id="rId65" display="https://www.linkedin.com/learning/paths/improve-your-digital-marketing-skills" xr:uid="{00000000-0004-0000-0600-000040000000}"/>
    <hyperlink ref="L18" r:id="rId66" display="https://www.linkedin.com/learning/mission-and-vision-statements-explained" xr:uid="{00000000-0004-0000-0600-000041000000}"/>
    <hyperlink ref="S18" r:id="rId67" display="https://www.linkedin.com/learning/improving-your-judgment" xr:uid="{00000000-0004-0000-0600-000042000000}"/>
    <hyperlink ref="E19" r:id="rId68" display="https://www.linkedin.com/learning/lifecycle-marketing-foundations" xr:uid="{00000000-0004-0000-0600-000043000000}"/>
    <hyperlink ref="L19" r:id="rId69" display="https://www.linkedin.com/learning/icebreakers-for-teams-meetings-and-groups" xr:uid="{00000000-0004-0000-0600-000044000000}"/>
    <hyperlink ref="S19" r:id="rId70" display="https://www.linkedin.com/learning/learning-agility" xr:uid="{00000000-0004-0000-0600-000045000000}"/>
    <hyperlink ref="E20" r:id="rId71" display="https://www.linkedin.com/learning/marketing-foundations-international-marketing" xr:uid="{00000000-0004-0000-0600-000046000000}"/>
    <hyperlink ref="L20" r:id="rId72" display="https://www.linkedin.com/learning/how-getting-curious-helps-you-achieve-everything" xr:uid="{00000000-0004-0000-0600-000047000000}"/>
    <hyperlink ref="S20" r:id="rId73" display="https://www.linkedin.com/learning/learning-from-failure" xr:uid="{00000000-0004-0000-0600-000048000000}"/>
    <hyperlink ref="E21" r:id="rId74" display="https://www.linkedin.com/learning/marketing-your-side-hustle" xr:uid="{00000000-0004-0000-0600-000049000000}"/>
    <hyperlink ref="L21" r:id="rId75" display="https://www.linkedin.com/learning/agile-software-development-creating-an-agile-culture" xr:uid="{00000000-0004-0000-0600-00004A000000}"/>
    <hyperlink ref="S21" r:id="rId76" display="https://www.linkedin.com/learning/monday-productivity-pointers" xr:uid="{00000000-0004-0000-0600-00004B000000}"/>
    <hyperlink ref="E22" r:id="rId77" display="https://www.linkedin.com/learning/marketing-tips-2" xr:uid="{00000000-0004-0000-0600-00004C000000}"/>
    <hyperlink ref="L22" r:id="rId78" display="https://www.linkedin.com/learning/introduction-to-responsible-ai-algorithm-design" xr:uid="{00000000-0004-0000-0600-00004D000000}"/>
    <hyperlink ref="S22" r:id="rId79" display="https://www.linkedin.com/learning/prioritizing-your-tasks" xr:uid="{00000000-0004-0000-0600-00004E000000}"/>
    <hyperlink ref="E23" r:id="rId80" display="https://www.linkedin.com/learning/marketing-to-humans" xr:uid="{00000000-0004-0000-0600-00004F000000}"/>
    <hyperlink ref="L23" r:id="rId81" display="https://www.linkedin.com/learning/how-blockchains-will-change-business" xr:uid="{00000000-0004-0000-0600-000050000000}"/>
    <hyperlink ref="S23" r:id="rId82" display="https://www.linkedin.com/learning/problem-solving-techniques" xr:uid="{00000000-0004-0000-0600-000051000000}"/>
    <hyperlink ref="E24" r:id="rId83" display="https://www.linkedin.com/learning/mobile-marketing-foundations-2" xr:uid="{00000000-0004-0000-0600-000052000000}"/>
    <hyperlink ref="L24" r:id="rId84" display="https://www.linkedin.com/learning/design-thinking-implementing-the-process-revision-2021" xr:uid="{00000000-0004-0000-0600-000053000000}"/>
    <hyperlink ref="S24" r:id="rId85" display="https://www.linkedin.com/learning/process-improvement-foundations" xr:uid="{00000000-0004-0000-0600-000054000000}"/>
    <hyperlink ref="E25" r:id="rId86" display="https://www.linkedin.com/learning/online-marketing-foundations-3" xr:uid="{00000000-0004-0000-0600-000055000000}"/>
    <hyperlink ref="L25" r:id="rId87" display="https://www.linkedin.com/learning/charles-adler-a-story-of-kickstarting-an-idea" xr:uid="{00000000-0004-0000-0600-000056000000}"/>
    <hyperlink ref="S25" r:id="rId88" display="https://www.linkedin.com/learning/sheryl-sandberg-and-adam-grant-on-option-b-building-resilience" xr:uid="{00000000-0004-0000-0600-000057000000}"/>
    <hyperlink ref="E26" r:id="rId89" display="https://www.linkedin.com/learning/power-bi-for-marketers" xr:uid="{00000000-0004-0000-0600-000058000000}"/>
    <hyperlink ref="L26" r:id="rId90" display="https://www.linkedin.com/learning/practical-creativity-for-everyone" xr:uid="{00000000-0004-0000-0600-000059000000}"/>
    <hyperlink ref="S26" r:id="rId91" display="https://www.linkedin.com/learning/simplifying-business-processes" xr:uid="{00000000-0004-0000-0600-00005A000000}"/>
    <hyperlink ref="E27" r:id="rId92" display="https://www.linkedin.com/learning/seo-foundations-2" xr:uid="{00000000-0004-0000-0600-00005B000000}"/>
    <hyperlink ref="L27" r:id="rId93" display="https://www.linkedin.com/learning/graphic-design-foundations-ideas-concepts-and-form" xr:uid="{00000000-0004-0000-0600-00005C000000}"/>
    <hyperlink ref="S27" r:id="rId94" display="https://www.linkedin.com/learning/solving-business-problems" xr:uid="{00000000-0004-0000-0600-00005D000000}"/>
    <hyperlink ref="E28" r:id="rId95" display="https://www.linkedin.com/learning/setting-a-marketing-budget" xr:uid="{00000000-0004-0000-0600-00005E000000}"/>
    <hyperlink ref="L28" r:id="rId96" display="https://www.linkedin.com/learning/applied-curiosity" xr:uid="{00000000-0004-0000-0600-00005F000000}"/>
    <hyperlink ref="S28" r:id="rId97" display="https://www.linkedin.com/learning/successful-goal-setting" xr:uid="{00000000-0004-0000-0600-000060000000}"/>
    <hyperlink ref="E29" r:id="rId98" display="https://www.linkedin.com/learning/marketing-on-linkedin-the-sophisticated-marketer-s-guide" xr:uid="{00000000-0004-0000-0600-000061000000}"/>
    <hyperlink ref="L29" r:id="rId99" display="https://www.linkedin.com/learning/creativity-generate-ideas-in-greater-quantity-and-quality" xr:uid="{00000000-0004-0000-0600-000062000000}"/>
    <hyperlink ref="S29" r:id="rId100" display="https://www.linkedin.com/learning/time-tested-methods-for-making-complex-decisions" xr:uid="{00000000-0004-0000-0600-000063000000}"/>
    <hyperlink ref="E30" r:id="rId101" display="https://www.linkedin.com/learning/building-a-creative-online-community" xr:uid="{00000000-0004-0000-0600-000064000000}"/>
    <hyperlink ref="L30" r:id="rId102" display="https://www.linkedin.com/learning/ideas-that-resonate" xr:uid="{00000000-0004-0000-0600-000065000000}"/>
    <hyperlink ref="S30" r:id="rId103" display="https://www.linkedin.com/learning/crafting-problem-and-solution-statements" xr:uid="{00000000-0004-0000-0600-000066000000}"/>
    <hyperlink ref="E31" r:id="rId104" display="https://www.linkedin.com/learning/social-media-video-for-business-and-marketing" xr:uid="{00000000-0004-0000-0600-000067000000}"/>
    <hyperlink ref="L31" r:id="rId105" display="https://www.linkedin.com/learning/leading-with-innovation/welcome" xr:uid="{00000000-0004-0000-0600-000068000000}"/>
    <hyperlink ref="S31" r:id="rId106" display="https://www.linkedin.com/learning/improving-your-judgment-for-better-decision-making-2020" xr:uid="{00000000-0004-0000-0600-000069000000}"/>
    <hyperlink ref="E32" r:id="rId107" display="https://www.linkedin.com/learning/positioning-your-product-or-service" xr:uid="{00000000-0004-0000-0600-00006A000000}"/>
    <hyperlink ref="L32" r:id="rId108" display="https://www.linkedin.com/learning/how-to-boost-your-creativity-at-home-in-10-days-uk" xr:uid="{00000000-0004-0000-0600-00006B000000}"/>
    <hyperlink ref="S32" r:id="rId109" display="https://www.linkedin.com/learning/making-better-decisions-by-thinking-in-bets" xr:uid="{00000000-0004-0000-0600-00006C000000}"/>
    <hyperlink ref="E33" r:id="rId110" display="https://www.linkedin.com/learning/marketing-programs-that-power-customer-acquisition" xr:uid="{00000000-0004-0000-0600-00006D000000}"/>
    <hyperlink ref="L33" r:id="rId111" display="https://www.linkedin.com/learning/21-day-creative-exercise-desk-challenge" xr:uid="{00000000-0004-0000-0600-00006E000000}"/>
    <hyperlink ref="S33" r:id="rId112" display="https://www.linkedin.com/learning/overcoming-cognitive-bias" xr:uid="{00000000-0004-0000-0600-00006F000000}"/>
    <hyperlink ref="E34" r:id="rId113" display="https://www.linkedin.com/learning/creating-marketing-objectives" xr:uid="{00000000-0004-0000-0600-000070000000}"/>
    <hyperlink ref="L34" r:id="rId114" display="https://www.linkedin.com/learning/mapping-innovation-a-playbook-for-navigating-a-disruptive-age-getabstract-summary" xr:uid="{00000000-0004-0000-0600-000071000000}"/>
    <hyperlink ref="S34" r:id="rId115" display="https://www.linkedin.com/learning/improving-your-thinking" xr:uid="{00000000-0004-0000-0600-000072000000}"/>
    <hyperlink ref="E35" r:id="rId116" display="https://www.linkedin.com/learning/determining-market-size-for-your-product-or-service" xr:uid="{00000000-0004-0000-0600-000073000000}"/>
    <hyperlink ref="L35" r:id="rId117" display="https://www.linkedin.com/learning/leading-like-a-futurist" xr:uid="{00000000-0004-0000-0600-000074000000}"/>
    <hyperlink ref="S35" r:id="rId118" display="https://www.linkedin.com/learning/practical-creativity-for-everyone" xr:uid="{00000000-0004-0000-0600-000075000000}"/>
    <hyperlink ref="E36" r:id="rId119" display="https://www.linkedin.com/learning/social-media-marketing-tips" xr:uid="{00000000-0004-0000-0600-000076000000}"/>
    <hyperlink ref="L36" r:id="rId120" display="https://www.linkedin.com/learning/banish-your-inner-critic-to-unleash-creativity-revision" xr:uid="{00000000-0004-0000-0600-000077000000}"/>
    <hyperlink ref="S36" r:id="rId121" display="https://www.linkedin.com/learning/powerless-to-powerful-taking-control" xr:uid="{00000000-0004-0000-0600-000078000000}"/>
    <hyperlink ref="E37" r:id="rId122" display="https://www.linkedin.com/learning/marketing-tools-social-media" xr:uid="{00000000-0004-0000-0600-000079000000}"/>
    <hyperlink ref="L37" r:id="rId123" display="https://www.linkedin.com/learning/implementing-creative-feedback-the-win-win-way" xr:uid="{00000000-0004-0000-0600-00007A000000}"/>
    <hyperlink ref="S37" r:id="rId124" display="https://www.linkedin.com/learning/cultivating-mental-agility" xr:uid="{00000000-0004-0000-0600-00007B000000}"/>
    <hyperlink ref="E38" r:id="rId125" display="https://www.linkedin.com/learning/marketing-foundations-automation" xr:uid="{00000000-0004-0000-0600-00007C000000}"/>
    <hyperlink ref="L38" r:id="rId126" display="https://www.linkedin.com/learning/defining-your-creative-edge-to-promote-your-work" xr:uid="{00000000-0004-0000-0600-00007D000000}"/>
    <hyperlink ref="S38" r:id="rId127" display="https://www.linkedin.com/learning/executive-decision-making" xr:uid="{00000000-0004-0000-0600-00007E000000}"/>
    <hyperlink ref="E39" r:id="rId128" display="https://www.linkedin.com/learning/advertising-on-facebook-2019" xr:uid="{00000000-0004-0000-0600-00007F000000}"/>
    <hyperlink ref="L39" r:id="rId129" display="https://www.linkedin.com/learning/unlocking-creativity-blinkist-summary" xr:uid="{00000000-0004-0000-0600-000080000000}"/>
    <hyperlink ref="S39" r:id="rId130" display="https://www.linkedin.com/learning/making-quick-decisions" xr:uid="{00000000-0004-0000-0600-000081000000}"/>
    <hyperlink ref="E40" r:id="rId131" display="https://www.linkedin.com/learning/content-marketing-newsletters-2019" xr:uid="{00000000-0004-0000-0600-000082000000}"/>
    <hyperlink ref="L40" r:id="rId132" display="https://www.linkedin.com/learning/design-thinking-understanding-the-process-revision-2021" xr:uid="{00000000-0004-0000-0600-000083000000}"/>
    <hyperlink ref="S40" r:id="rId133" display="https://www.linkedin.com/learning/project-management-solving-common-project-problems" xr:uid="{00000000-0004-0000-0600-000084000000}"/>
    <hyperlink ref="E41" r:id="rId134" display="https://www.linkedin.com/learning/identifying-your-target-market" xr:uid="{00000000-0004-0000-0600-000085000000}"/>
    <hyperlink ref="L41" r:id="rId135" display="https://www.linkedin.com/learning/ux-deep-dive-remote-research" xr:uid="{00000000-0004-0000-0600-000086000000}"/>
    <hyperlink ref="S41" r:id="rId136" display="https://www.linkedin.com/learning/using-questions-to-foster-critical-thinking-and-curiosity" xr:uid="{00000000-0004-0000-0600-000087000000}"/>
    <hyperlink ref="E42" r:id="rId137" display="https://www.linkedin.com/learning/market-research-foundations-2019" xr:uid="{00000000-0004-0000-0600-000088000000}"/>
    <hyperlink ref="L42" r:id="rId138" display="https://www.linkedin.com/learning/building-and-managing-signature-products" xr:uid="{00000000-0004-0000-0600-000089000000}"/>
    <hyperlink ref="S42" r:id="rId139" display="https://www.linkedin.com/learning/decision-making-in-high-stress-situations" xr:uid="{00000000-0004-0000-0600-00008A000000}"/>
    <hyperlink ref="E43" r:id="rId140" display="https://www.linkedin.com/learning/social-media-marketing-roi-2019" xr:uid="{00000000-0004-0000-0600-00008B000000}"/>
    <hyperlink ref="L43" r:id="rId141" display="https://www.linkedin.com/learning/driving-innovation-a-leader-s-guide-to-ownership-and-accountability-for-creative-teams" xr:uid="{00000000-0004-0000-0600-00008C000000}"/>
    <hyperlink ref="E44" r:id="rId142" display="https://www.linkedin.com/learning/marketing-foundations-2019" xr:uid="{00000000-0004-0000-0600-00008D000000}"/>
    <hyperlink ref="L44" r:id="rId143" display="https://www.linkedin.com/learning/creativity-and-learning-a-conversation-with-lynda-barry" xr:uid="{00000000-0004-0000-0600-00008E000000}"/>
    <hyperlink ref="E45" r:id="rId144" display="https://www.linkedin.com/learning/shopify-ecommerce-for-marketers" xr:uid="{00000000-0004-0000-0600-00008F000000}"/>
    <hyperlink ref="L45" r:id="rId145" display="https://www.linkedin.com/learning/enhancing-team-innovation" xr:uid="{00000000-0004-0000-0600-000090000000}"/>
    <hyperlink ref="E46" r:id="rId146" display="https://www.linkedin.com/learning/learning-mailchimp-2019" xr:uid="{00000000-0004-0000-0600-000091000000}"/>
    <hyperlink ref="L46" r:id="rId147" display="https://www.linkedin.com/learning/leaders-make-your-teams-more-agile-creative-and-united" xr:uid="{00000000-0004-0000-0600-000092000000}"/>
    <hyperlink ref="E47" r:id="rId148" display="https://www.linkedin.com/learning/marketing-and-monetizing-on-youtube-2019" xr:uid="{00000000-0004-0000-0600-000093000000}"/>
    <hyperlink ref="L47" r:id="rId149" display="https://www.linkedin.com/learning/supply-chain-foundations" xr:uid="{00000000-0004-0000-0600-000094000000}"/>
    <hyperlink ref="E48" r:id="rId150" display="https://www.linkedin.com/learning/content-marketing-foundations-2020" xr:uid="{00000000-0004-0000-0600-000095000000}"/>
    <hyperlink ref="L48" r:id="rId151" display="https://www.linkedin.com/learning/using-questions-to-foster-critical-thinking-and-curiosity/how-curiosity-can-open-doors" xr:uid="{00000000-0004-0000-0600-000096000000}"/>
    <hyperlink ref="E49" r:id="rId152" display="https://www.linkedin.com/learning/learning-google-adsense-2019" xr:uid="{00000000-0004-0000-0600-000097000000}"/>
    <hyperlink ref="L49" r:id="rId153" display="https://www.linkedin.com/learning/psychological-safety-clear-blocks-to-innovation-collaboration-and-risk-taking" xr:uid="{00000000-0004-0000-0600-000098000000}"/>
    <hyperlink ref="E50" r:id="rId154" display="https://www.linkedin.com/learning/advertising-on-twitter-2020" xr:uid="{00000000-0004-0000-0600-000099000000}"/>
    <hyperlink ref="L50" r:id="rId155" display="https://www.linkedin.com/learning/balancing-innovation-and-risk" xr:uid="{00000000-0004-0000-0600-00009A000000}"/>
    <hyperlink ref="E51" r:id="rId156" display="https://www.linkedin.com/learning/social-media-marketing-foundations-2020" xr:uid="{00000000-0004-0000-0600-00009B000000}"/>
    <hyperlink ref="L51" r:id="rId157" display="https://www.linkedin.com/learning/managing-innovation" xr:uid="{00000000-0004-0000-0600-00009C000000}"/>
    <hyperlink ref="E52" r:id="rId158" display="https://www.linkedin.com/learning/branding-foundations-revision-2020" xr:uid="{00000000-0004-0000-0600-00009D000000}"/>
    <hyperlink ref="L52" r:id="rId159" display="https://www.linkedin.com/learning/the-definitive-drucker-getabstract-summary" xr:uid="{00000000-0004-0000-0600-00009E000000}"/>
    <hyperlink ref="E53" r:id="rId160" display="https://www.linkedin.com/learning/marketing-to-generation-z" xr:uid="{00000000-0004-0000-0600-00009F000000}"/>
    <hyperlink ref="E54" r:id="rId161" display="https://www.linkedin.com/learning/marketing-tools-digital-marketing-revision-2020" xr:uid="{00000000-0004-0000-0600-0000A0000000}"/>
    <hyperlink ref="E55" r:id="rId162" display="https://www.linkedin.com/learning/content-marketing-for-social-media/accelerate-your-content-marketing-on-social-media" xr:uid="{00000000-0004-0000-0600-0000A1000000}"/>
    <hyperlink ref="E56" r:id="rId163" display="https://www.linkedin.com/learning/marketing-on-instagram-revision-2020" xr:uid="{00000000-0004-0000-0600-0000A2000000}"/>
    <hyperlink ref="E57" r:id="rId164" display="https://www.linkedin.com/learning/introduction-to-social-media-strategy" xr:uid="{00000000-0004-0000-0600-0000A3000000}"/>
    <hyperlink ref="E58" r:id="rId165" display="https://www.linkedin.com/learning/small-business-marketing-revision-2020" xr:uid="{00000000-0004-0000-0600-0000A4000000}"/>
    <hyperlink ref="E59" r:id="rId166" display="https://www.linkedin.com/learning/marketing-tools-automation" xr:uid="{00000000-0004-0000-0600-0000A5000000}"/>
    <hyperlink ref="E60" r:id="rId167" display="https://www.linkedin.com/learning/marketing-analytics-setting-and-measuring-kpis-2020" xr:uid="{00000000-0004-0000-0600-0000A6000000}"/>
    <hyperlink ref="E61" r:id="rId168" display="https://www.linkedin.com/learning/building-a-winning-enterprise-marketing-strategy" xr:uid="{00000000-0004-0000-0600-0000A7000000}"/>
    <hyperlink ref="E62" r:id="rId169" display="https://www.linkedin.com/learning/marketing-foundations-consumer-behavior-revision-2020" xr:uid="{00000000-0004-0000-0600-0000A8000000}"/>
    <hyperlink ref="E63" r:id="rId170" display="https://www.linkedin.com/learning/creating-and-managing-a-youtube-channel-revision" xr:uid="{00000000-0004-0000-0600-0000A9000000}"/>
    <hyperlink ref="E64" r:id="rId171" display="https://www.linkedin.com/learning/streaming-with-linkedin-live" xr:uid="{00000000-0004-0000-0600-0000AA000000}"/>
    <hyperlink ref="E65" r:id="rId172" display="https://www.linkedin.com/learning/business-analytics-marketing-data" xr:uid="{00000000-0004-0000-0600-0000AB000000}"/>
    <hyperlink ref="E66" r:id="rId173" display="https://www.linkedin.com/learning/creating-an-editorial-calendar-revision-2020" xr:uid="{00000000-0004-0000-0600-0000AC000000}"/>
    <hyperlink ref="E67" r:id="rId174" display="https://www.linkedin.com/learning/affiliate-marketing-foundations-revision-2020" xr:uid="{00000000-0004-0000-0600-0000AD000000}"/>
    <hyperlink ref="E68" r:id="rId175" display="https://www.linkedin.com/learning/programmatic-advertising-foundations-2020" xr:uid="{00000000-0004-0000-0600-0000AE000000}"/>
    <hyperlink ref="E69" r:id="rId176" display="https://www.linkedin.com/learning/international-seo-revision-2020" xr:uid="{00000000-0004-0000-0600-0000AF000000}"/>
    <hyperlink ref="E70" r:id="rId177" display="https://www.linkedin.com/learning/marketing-customer-segmentation-revision-2020" xr:uid="{00000000-0004-0000-0600-0000B0000000}"/>
    <hyperlink ref="E71" r:id="rId178" display="https://www.linkedin.com/learning/marketing-on-facebook-2020" xr:uid="{00000000-0004-0000-0600-0000B1000000}"/>
    <hyperlink ref="E72" r:id="rId179" display="https://www.linkedin.com/learning/creating-a-buzz" xr:uid="{00000000-0004-0000-0600-0000B2000000}"/>
    <hyperlink ref="E73" r:id="rId180" display="https://www.linkedin.com/learning/direct-mail-marketing" xr:uid="{00000000-0004-0000-0600-0000B3000000}"/>
    <hyperlink ref="E74" r:id="rId181" display="https://www.linkedin.com/learning/developing-a-youtube-strategy" xr:uid="{00000000-0004-0000-0600-0000B4000000}"/>
    <hyperlink ref="E75" r:id="rId182" display="https://www.linkedin.com/learning/designing-an-authentic-brand" xr:uid="{00000000-0004-0000-0600-0000B5000000}"/>
    <hyperlink ref="E76" r:id="rId183" display="https://www.linkedin.com/learning/marketing-on-twitter,https:/www.linkedin.com/learning/marketing-on-twitter-2020" xr:uid="{00000000-0004-0000-0600-0000B6000000}"/>
    <hyperlink ref="E77" r:id="rId184" display="https://www.linkedin.com/learning/international-marketing-foundations,https:/www.linkedin.com/learning/international-marketing-foundations-revision-2020" xr:uid="{00000000-0004-0000-0600-0000B7000000}"/>
    <hyperlink ref="E78" r:id="rId185" display="https://www.linkedin.com/learning/learning-logo-design,https:/www.linkedin.com/learning/learning-logo-design-revision" xr:uid="{00000000-0004-0000-0600-0000B8000000}"/>
    <hyperlink ref="E79" r:id="rId186" display="https://www.linkedin.com/learning/creating-social-content-with-adobe-animate-cc" xr:uid="{00000000-0004-0000-0600-0000B9000000}"/>
    <hyperlink ref="E80" r:id="rId187" display="https://www.linkedin.com/learning/social-media-for-video-pros-revision" xr:uid="{00000000-0004-0000-0600-0000BA000000}"/>
    <hyperlink ref="E81" r:id="rId188" display="https://www.linkedin.com/learning/social-media-marketing-for-small-business" xr:uid="{00000000-0004-0000-0600-0000BB000000}"/>
    <hyperlink ref="E82" r:id="rId189" display="https://www.linkedin.com/learning/social-media-marketing-with-facebook-and-twitter-2" xr:uid="{00000000-0004-0000-0600-0000BC000000}"/>
    <hyperlink ref="E83" r:id="rId190" display="https://www.linkedin.com/learning/marketing-on-twitter-2019" xr:uid="{00000000-0004-0000-0600-0000BD000000}"/>
    <hyperlink ref="E84" r:id="rId191" display="https://www.linkedin.com/learning/introduction-to-content-marketing" xr:uid="{00000000-0004-0000-0600-0000BE000000}"/>
    <hyperlink ref="E85" r:id="rId192" display="https://www.linkedin.com/learning/marketing-during-a-crisis" xr:uid="{00000000-0004-0000-0600-0000BF000000}"/>
    <hyperlink ref="E86" r:id="rId193" display="https://www.linkedin.com/learning/marketing-virtual-events" xr:uid="{00000000-0004-0000-0600-0000C0000000}"/>
    <hyperlink ref="E87" r:id="rId194" display="https://www.linkedin.com/learning/seo-ecommerce-strategies-revision-2020" xr:uid="{00000000-0004-0000-0600-0000C1000000}"/>
    <hyperlink ref="E88" r:id="rId195" display="https://www.linkedin.com/learning/how-to-tell-stories-that-win-market-share" xr:uid="{00000000-0004-0000-0600-0000C2000000}"/>
    <hyperlink ref="E89" r:id="rId196" display="https://www.linkedin.com/learning/the-22-immutable-laws-of-branding-blinkist-summary" xr:uid="{00000000-0004-0000-0600-0000C3000000}"/>
    <hyperlink ref="E90" r:id="rId197" display="https://www.linkedin.com/learning/disruptive-branding-blinkist-summary" xr:uid="{00000000-0004-0000-0600-0000C4000000}"/>
    <hyperlink ref="E91" r:id="rId198" display="https://www.linkedin.com/learning/artificial-intelligence-for-marketing" xr:uid="{00000000-0004-0000-0600-0000C5000000}"/>
    <hyperlink ref="E92" r:id="rId199" display="https://www.linkedin.com/learning/social-media-marketing-trends" xr:uid="{00000000-0004-0000-0600-0000C6000000}"/>
    <hyperlink ref="E93" r:id="rId200" display="https://www.linkedin.com/learning/b2b-marketing-foundations-positioning" xr:uid="{00000000-0004-0000-0600-0000C7000000}"/>
    <hyperlink ref="E94" r:id="rId201" display="https://www.linkedin.com/learning/building-your-marketing-technology-stack" xr:uid="{00000000-0004-0000-0600-0000C8000000}"/>
    <hyperlink ref="E95" r:id="rId202" display="https://www.linkedin.com/learning/social-media-marketing-social-crm" xr:uid="{00000000-0004-0000-0600-0000C9000000}"/>
    <hyperlink ref="E96" r:id="rId203" display="https://www.linkedin.com/learning/the-data-science-of-marketing" xr:uid="{00000000-0004-0000-0600-0000CA000000}"/>
    <hyperlink ref="E97" r:id="rId204" display="https://www.linkedin.com/learning/advertising-on-pinterest-2019" xr:uid="{00000000-0004-0000-0600-0000CB000000}"/>
    <hyperlink ref="E98" r:id="rId205" display="https://www.linkedin.com/learning/advertising-on-youtube-2019" xr:uid="{00000000-0004-0000-0600-0000CC000000}"/>
    <hyperlink ref="E99" r:id="rId206" display="https://www.linkedin.com/learning/master-the-strategies-methods-and-metrics-of-champion-marketers" xr:uid="{00000000-0004-0000-0600-0000CD000000}"/>
    <hyperlink ref="E100" r:id="rId207" display="https://www.linkedin.com/learning/building-and-managing-signature-products" xr:uid="{00000000-0004-0000-0600-0000CE000000}"/>
    <hyperlink ref="E101" r:id="rId208" display="https://www.linkedin.com/learning/social-media-monitoring-strategies-and-skills-revision-2020" xr:uid="{00000000-0004-0000-0600-0000CF000000}"/>
    <hyperlink ref="E102" r:id="rId209" display="https://www.linkedin.com/learning/b2b-marketing-on-linkedin-2,https:/www.linkedin.com/learning/b2b-marketing-on-linkedin-revision-2020" xr:uid="{00000000-0004-0000-0600-0000D0000000}"/>
    <hyperlink ref="E103" r:id="rId210" display="https://www.linkedin.com/learning/content-marketing-roi,https:/www.linkedin.com/learning/content-marketing-roi-2,https:/www.linkedin.com/learning/content-marketing-roi-revision-2020" xr:uid="{00000000-0004-0000-0600-0000D1000000}"/>
    <hyperlink ref="E104" r:id="rId211" display="https://www.linkedin.com/learning/marketing-conversion-rate-optimization-revision-2020" xr:uid="{00000000-0004-0000-0600-0000D2000000}"/>
    <hyperlink ref="E105" r:id="rId212" display="https://www.linkedin.com/learning/email-marketing-strategy-and-optimization" xr:uid="{00000000-0004-0000-0600-0000D3000000}"/>
    <hyperlink ref="E106" r:id="rId213" display="https://www.linkedin.com/learning/advertising-on-youtube,https:/www.linkedin.com/learning/advertising-on-youtube-2020" xr:uid="{00000000-0004-0000-0600-0000D4000000}"/>
    <hyperlink ref="E107" r:id="rId214" display="https://www.linkedin.com/learning/create-a-go-to-market-plan-2,https:/www.linkedin.com/learning/create-a-go-to-market-plan-revision-2020" xr:uid="{00000000-0004-0000-0600-0000D5000000}"/>
    <hyperlink ref="E108" r:id="rId215" display="https://www.linkedin.com/learning/marketing-tools-seo-2019" xr:uid="{00000000-0004-0000-0600-0000D6000000}"/>
    <hyperlink ref="E109" r:id="rId216" display="https://www.linkedin.com/learning/growth-hacking-tips" xr:uid="{00000000-0004-0000-0600-0000D7000000}"/>
    <hyperlink ref="E110" r:id="rId217" display="https://www.linkedin.com/learning/improve-seo-for-your-ecommerce-site" xr:uid="{00000000-0004-0000-0600-0000D8000000}"/>
    <hyperlink ref="E111" r:id="rId218" display="https://www.linkedin.com/learning/social-media-marketing-optimization-2019" xr:uid="{00000000-0004-0000-0600-0000D9000000}"/>
    <hyperlink ref="E112" r:id="rId219" display="https://www.linkedin.com/learning/seo-keyword-strategy-2020" xr:uid="{00000000-0004-0000-0600-0000DA000000}"/>
    <hyperlink ref="E113" r:id="rId220" display="https://www.linkedin.com/learning/seo-videos-2020" xr:uid="{00000000-0004-0000-0600-0000DB000000}"/>
    <hyperlink ref="E114" r:id="rId221" display="https://www.linkedin.com/learning/seo-for-social-media" xr:uid="{00000000-0004-0000-0600-0000DC000000}"/>
    <hyperlink ref="E115" r:id="rId222" display="https://www.linkedin.com/learning/aligning-sales-and-marketing" xr:uid="{00000000-0004-0000-0600-0000DD000000}"/>
    <hyperlink ref="E116" r:id="rId223" display="https://www.linkedin.com/learning/python-for-marketing" xr:uid="{00000000-0004-0000-0600-0000DE000000}"/>
    <hyperlink ref="E117" r:id="rId224" display="https://www.linkedin.com/learning/advertising-on-instagram-2020" xr:uid="{00000000-0004-0000-0600-0000DF000000}"/>
    <hyperlink ref="E118" r:id="rId225" display="https://www.linkedin.com/learning/17-questions-to-help-improve-your-marketing" xr:uid="{00000000-0004-0000-0600-0000E0000000}"/>
    <hyperlink ref="E119" r:id="rId226" display="https://www.linkedin.com/learning/employer-branding-on-linkedin-revision-2020" xr:uid="{00000000-0004-0000-0600-0000E1000000}"/>
    <hyperlink ref="E120" r:id="rId227" display="https://www.linkedin.com/learning/start-a-marketing-business-concept-to-launch" xr:uid="{00000000-0004-0000-0600-0000E2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xr:uid="{00000000-0002-0000-0600-000000000000}">
          <x14:formula1>
            <xm:f>'All Competencies'!$A$3:$A626</xm:f>
          </x14:formula1>
          <xm:sqref>A1:C1 G1:J1 N1:Q1 U1:V1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6D9EEB"/>
    <outlinePr summaryBelow="0" summaryRight="0"/>
  </sheetPr>
  <dimension ref="A1:V599"/>
  <sheetViews>
    <sheetView showGridLines="0" workbookViewId="0">
      <pane ySplit="4" topLeftCell="A5" activePane="bottomLeft" state="frozen"/>
      <selection pane="bottomLeft" activeCell="F19" sqref="F19"/>
    </sheetView>
  </sheetViews>
  <sheetFormatPr baseColWidth="10" defaultColWidth="14.5" defaultRowHeight="15.75" customHeight="1" outlineLevelRow="1" x14ac:dyDescent="0.15"/>
  <cols>
    <col min="1" max="2" width="0.6640625" customWidth="1"/>
    <col min="3" max="3" width="13.5" customWidth="1"/>
    <col min="4" max="4" width="18" customWidth="1"/>
    <col min="5" max="5" width="36.83203125" customWidth="1"/>
    <col min="6" max="6" width="37.5" customWidth="1"/>
    <col min="7" max="9" width="0.6640625" customWidth="1"/>
    <col min="10" max="10" width="13.5" customWidth="1"/>
    <col min="11" max="11" width="18" customWidth="1"/>
    <col min="12" max="12" width="36.83203125" customWidth="1"/>
    <col min="13" max="13" width="37.5" customWidth="1"/>
    <col min="14" max="16" width="0.6640625" customWidth="1"/>
    <col min="17" max="17" width="13.5" customWidth="1"/>
    <col min="18" max="18" width="18" customWidth="1"/>
    <col min="19" max="19" width="36.83203125" customWidth="1"/>
    <col min="20" max="20" width="37.5" customWidth="1"/>
    <col min="21" max="22" width="0.6640625" customWidth="1"/>
  </cols>
  <sheetData>
    <row r="1" spans="1:22" ht="27.75" customHeight="1" outlineLevel="1" x14ac:dyDescent="0.15">
      <c r="A1" s="127"/>
      <c r="B1" s="127"/>
      <c r="C1" s="188" t="s">
        <v>505</v>
      </c>
      <c r="D1" s="160"/>
      <c r="E1" s="160"/>
      <c r="F1" s="160"/>
      <c r="G1" s="127"/>
      <c r="H1" s="127"/>
      <c r="I1" s="127"/>
      <c r="J1" s="188" t="s">
        <v>564</v>
      </c>
      <c r="K1" s="160"/>
      <c r="L1" s="160"/>
      <c r="M1" s="160"/>
      <c r="N1" s="127"/>
      <c r="O1" s="127"/>
      <c r="P1" s="127"/>
      <c r="Q1" s="188" t="s">
        <v>660</v>
      </c>
      <c r="R1" s="160"/>
      <c r="S1" s="160"/>
      <c r="T1" s="160"/>
      <c r="U1" s="127"/>
      <c r="V1" s="127"/>
    </row>
    <row r="2" spans="1:22" ht="17" outlineLevel="1" x14ac:dyDescent="0.15">
      <c r="A2" s="128"/>
      <c r="B2" s="128"/>
      <c r="C2" s="186" t="s">
        <v>1407</v>
      </c>
      <c r="D2" s="160"/>
      <c r="E2" s="160"/>
      <c r="F2" s="160"/>
      <c r="G2" s="128"/>
      <c r="H2" s="128"/>
      <c r="I2" s="128"/>
      <c r="J2" s="186" t="s">
        <v>1407</v>
      </c>
      <c r="K2" s="160"/>
      <c r="L2" s="160"/>
      <c r="M2" s="160"/>
      <c r="N2" s="128"/>
      <c r="O2" s="128"/>
      <c r="P2" s="128"/>
      <c r="Q2" s="186" t="s">
        <v>1407</v>
      </c>
      <c r="R2" s="160"/>
      <c r="S2" s="160"/>
      <c r="T2" s="160"/>
      <c r="U2" s="128"/>
      <c r="V2" s="128"/>
    </row>
    <row r="3" spans="1:22" ht="50" customHeight="1" outlineLevel="1" x14ac:dyDescent="0.15">
      <c r="A3" s="129"/>
      <c r="B3" s="129"/>
      <c r="C3" s="187" t="str">
        <f ca="1">IFERROR(__xludf.DUMMYFUNCTION("IFERROR(UNIQUE(FILTER('Competency Learning Paths'!N:N,'Competency Learning Paths'!A:A= C1)))"),"Customer Service Orientation, Building Customer Loyalty, Customer Service")</f>
        <v>Customer Service Orientation, Building Customer Loyalty, Customer Service</v>
      </c>
      <c r="D3" s="160"/>
      <c r="E3" s="160"/>
      <c r="F3" s="160"/>
      <c r="G3" s="129"/>
      <c r="H3" s="129"/>
      <c r="I3" s="129"/>
      <c r="J3" s="187" t="str">
        <f ca="1">IFERROR(__xludf.DUMMYFUNCTION("IFERROR(UNIQUE(FILTER('Competency Learning Paths'!N:N,'Competency Learning Paths'!A:A= J1)))"),"Insights, analytics, inspecting, cleansing, transforming, and modeling data with the goal of discovering useful information. Informing conclusions and supporting decision-making")</f>
        <v>Insights, analytics, inspecting, cleansing, transforming, and modeling data with the goal of discovering useful information. Informing conclusions and supporting decision-making</v>
      </c>
      <c r="K3" s="160"/>
      <c r="L3" s="160"/>
      <c r="M3" s="160"/>
      <c r="N3" s="129"/>
      <c r="O3" s="129"/>
      <c r="P3" s="129"/>
      <c r="Q3" s="187" t="str">
        <f ca="1">IFERROR(__xludf.DUMMYFUNCTION("IFERROR(UNIQUE(FILTER('Competency Learning Paths'!N:N,'Competency Learning Paths'!A:A= Q1)))"),"Neuroscience of learning, flipped classroom, online learning, instructional design, digital teaching techniques, and strategies")</f>
        <v>Neuroscience of learning, flipped classroom, online learning, instructional design, digital teaching techniques, and strategies</v>
      </c>
      <c r="R3" s="160"/>
      <c r="S3" s="160"/>
      <c r="T3" s="160"/>
      <c r="U3" s="129"/>
      <c r="V3" s="129"/>
    </row>
    <row r="4" spans="1:22" ht="16" outlineLevel="1" x14ac:dyDescent="0.15">
      <c r="A4" s="130"/>
      <c r="B4" s="131"/>
      <c r="C4" s="132" t="str">
        <f ca="1">IFERROR(__xludf.DUMMYFUNCTION("FILTER('All Competencies'!B:B,'All Competencies'!A:A=C1)"),"Course IDs")</f>
        <v>Course IDs</v>
      </c>
      <c r="D4" s="132" t="str">
        <f ca="1">IFERROR(__xludf.DUMMYFUNCTION("FILTER('All Competencies'!C:C,'All Competencies'!A:A=C1)"),"Level")</f>
        <v>Level</v>
      </c>
      <c r="E4" s="132" t="str">
        <f ca="1">IFERROR(__xludf.DUMMYFUNCTION("FILTER('All Competencies'!D:D,'All Competencies'!A:A=C1)"),"Courses")</f>
        <v>Courses</v>
      </c>
      <c r="F4" s="132" t="str">
        <f ca="1">IFERROR(__xludf.DUMMYFUNCTION("FILTER('All Competencies'!E:E,'All Competencies'!A:A=C1)"),"Learning Paths")</f>
        <v>Learning Paths</v>
      </c>
      <c r="G4" s="133"/>
      <c r="H4" s="131"/>
      <c r="I4" s="130"/>
      <c r="J4" s="132" t="str">
        <f ca="1">IFERROR(__xludf.DUMMYFUNCTION("FILTER('All Competencies'!B:B,'All Competencies'!A:A=J1)"),"Course IDs")</f>
        <v>Course IDs</v>
      </c>
      <c r="K4" s="132" t="str">
        <f ca="1">IFERROR(__xludf.DUMMYFUNCTION("FILTER('All Competencies'!C:C,'All Competencies'!A:A=J1)"),"Level")</f>
        <v>Level</v>
      </c>
      <c r="L4" s="132" t="str">
        <f ca="1">IFERROR(__xludf.DUMMYFUNCTION("FILTER('All Competencies'!D:D,'All Competencies'!A:A=J1)"),"Courses")</f>
        <v>Courses</v>
      </c>
      <c r="M4" s="132" t="str">
        <f ca="1">IFERROR(__xludf.DUMMYFUNCTION("FILTER('All Competencies'!E:E,'All Competencies'!A:A=J1)"),"Learning Paths")</f>
        <v>Learning Paths</v>
      </c>
      <c r="N4" s="133"/>
      <c r="O4" s="131"/>
      <c r="P4" s="130"/>
      <c r="Q4" s="132" t="str">
        <f ca="1">IFERROR(__xludf.DUMMYFUNCTION("FILTER('All Competencies'!B:B,'All Competencies'!A:A=Q1)"),"Course IDs")</f>
        <v>Course IDs</v>
      </c>
      <c r="R4" s="132" t="str">
        <f ca="1">IFERROR(__xludf.DUMMYFUNCTION("FILTER('All Competencies'!C:C,'All Competencies'!A:A=Q1)"),"Level")</f>
        <v>Level</v>
      </c>
      <c r="S4" s="132" t="str">
        <f ca="1">IFERROR(__xludf.DUMMYFUNCTION("FILTER('All Competencies'!D:D,'All Competencies'!A:A=Q1)"),"Courses")</f>
        <v>Courses</v>
      </c>
      <c r="T4" s="132" t="str">
        <f ca="1">IFERROR(__xludf.DUMMYFUNCTION("FILTER('All Competencies'!E:E,'All Competencies'!A:A=Q1)"),"Learning Paths")</f>
        <v>Learning Paths</v>
      </c>
      <c r="U4" s="133"/>
      <c r="V4" s="130"/>
    </row>
    <row r="5" spans="1:22" ht="33.75" customHeight="1" x14ac:dyDescent="0.15">
      <c r="A5" s="134"/>
      <c r="B5" s="134"/>
      <c r="C5" s="135">
        <f ca="1">IFERROR(__xludf.DUMMYFUNCTION("""COMPUTED_VALUE"""),601771)</f>
        <v>601771</v>
      </c>
      <c r="D5" s="135" t="str">
        <f ca="1">IFERROR(__xludf.DUMMYFUNCTION("""COMPUTED_VALUE"""),"Advanced")</f>
        <v>Advanced</v>
      </c>
      <c r="E5" s="136" t="str">
        <f ca="1">IFERROR(__xludf.DUMMYFUNCTION("""COMPUTED_VALUE"""),"Customer Service Leadership")</f>
        <v>Customer Service Leadership</v>
      </c>
      <c r="F5" s="137" t="str">
        <f ca="1">IFERROR(__xludf.DUMMYFUNCTION("""COMPUTED_VALUE"""),"Become a Customer Service Manager")</f>
        <v>Become a Customer Service Manager</v>
      </c>
      <c r="G5" s="134"/>
      <c r="H5" s="134"/>
      <c r="I5" s="134"/>
      <c r="J5" s="135">
        <f ca="1">IFERROR(__xludf.DUMMYFUNCTION("""COMPUTED_VALUE"""),664827)</f>
        <v>664827</v>
      </c>
      <c r="K5" s="135" t="str">
        <f ca="1">IFERROR(__xludf.DUMMYFUNCTION("""COMPUTED_VALUE"""),"Advanced")</f>
        <v>Advanced</v>
      </c>
      <c r="L5" s="136" t="str">
        <f ca="1">IFERROR(__xludf.DUMMYFUNCTION("""COMPUTED_VALUE"""),"Business Analytics: Forecasting with Exponential Smoothing")</f>
        <v>Business Analytics: Forecasting with Exponential Smoothing</v>
      </c>
      <c r="M5" s="137" t="str">
        <f ca="1">IFERROR(__xludf.DUMMYFUNCTION("""COMPUTED_VALUE"""),"Advance Your Skills in Predictive Analytics")</f>
        <v>Advance Your Skills in Predictive Analytics</v>
      </c>
      <c r="N5" s="134"/>
      <c r="O5" s="134"/>
      <c r="P5" s="134"/>
      <c r="Q5" s="135">
        <f ca="1">IFERROR(__xludf.DUMMYFUNCTION("""COMPUTED_VALUE"""),573400)</f>
        <v>573400</v>
      </c>
      <c r="R5" s="135" t="str">
        <f ca="1">IFERROR(__xludf.DUMMYFUNCTION("""COMPUTED_VALUE"""),"Advanced")</f>
        <v>Advanced</v>
      </c>
      <c r="S5" s="136" t="str">
        <f ca="1">IFERROR(__xludf.DUMMYFUNCTION("""COMPUTED_VALUE"""),"Gamification for Interactive Learning")</f>
        <v>Gamification for Interactive Learning</v>
      </c>
      <c r="T5" s="137" t="str">
        <f ca="1">IFERROR(__xludf.DUMMYFUNCTION("""COMPUTED_VALUE"""),"Develop Your Course Design and Instructional Skills")</f>
        <v>Develop Your Course Design and Instructional Skills</v>
      </c>
      <c r="U5" s="134"/>
      <c r="V5" s="134"/>
    </row>
    <row r="6" spans="1:22" ht="33.75" customHeight="1" x14ac:dyDescent="0.15">
      <c r="A6" s="134"/>
      <c r="B6" s="134"/>
      <c r="C6" s="138">
        <f ca="1">IFERROR(__xludf.DUMMYFUNCTION("""COMPUTED_VALUE"""),2802030)</f>
        <v>2802030</v>
      </c>
      <c r="D6" s="138" t="str">
        <f ca="1">IFERROR(__xludf.DUMMYFUNCTION("""COMPUTED_VALUE"""),"Advanced")</f>
        <v>Advanced</v>
      </c>
      <c r="E6" s="139" t="str">
        <f ca="1">IFERROR(__xludf.DUMMYFUNCTION("""COMPUTED_VALUE"""),"Calculating the Value and ROI of Customer Service")</f>
        <v>Calculating the Value and ROI of Customer Service</v>
      </c>
      <c r="F6" s="140" t="str">
        <f ca="1">IFERROR(__xludf.DUMMYFUNCTION("""COMPUTED_VALUE"""),"Become a Customer Service Specialist")</f>
        <v>Become a Customer Service Specialist</v>
      </c>
      <c r="G6" s="134"/>
      <c r="H6" s="134"/>
      <c r="I6" s="134"/>
      <c r="J6" s="138">
        <f ca="1">IFERROR(__xludf.DUMMYFUNCTION("""COMPUTED_VALUE"""),2806960)</f>
        <v>2806960</v>
      </c>
      <c r="K6" s="138" t="str">
        <f ca="1">IFERROR(__xludf.DUMMYFUNCTION("""COMPUTED_VALUE"""),"Advanced")</f>
        <v>Advanced</v>
      </c>
      <c r="L6" s="139" t="str">
        <f ca="1">IFERROR(__xludf.DUMMYFUNCTION("""COMPUTED_VALUE"""),"Cert Prep: Excel Expert - Microsoft Office Specialist for Office 2019 and Office 365")</f>
        <v>Cert Prep: Excel Expert - Microsoft Office Specialist for Office 2019 and Office 365</v>
      </c>
      <c r="M6" s="140" t="str">
        <f ca="1">IFERROR(__xludf.DUMMYFUNCTION("""COMPUTED_VALUE"""),"Become a Business Analyst")</f>
        <v>Become a Business Analyst</v>
      </c>
      <c r="N6" s="134"/>
      <c r="O6" s="134"/>
      <c r="P6" s="134"/>
      <c r="Q6" s="138">
        <f ca="1">IFERROR(__xludf.DUMMYFUNCTION("""COMPUTED_VALUE"""),772321)</f>
        <v>772321</v>
      </c>
      <c r="R6" s="138" t="str">
        <f ca="1">IFERROR(__xludf.DUMMYFUNCTION("""COMPUTED_VALUE"""),"Advanced")</f>
        <v>Advanced</v>
      </c>
      <c r="S6" s="139" t="str">
        <f ca="1">IFERROR(__xludf.DUMMYFUNCTION("""COMPUTED_VALUE"""),"Applying Analytics to Your Learning Program")</f>
        <v>Applying Analytics to Your Learning Program</v>
      </c>
      <c r="T6" s="140" t="str">
        <f ca="1">IFERROR(__xludf.DUMMYFUNCTION("""COMPUTED_VALUE"""),"Become a User Experience Designer")</f>
        <v>Become a User Experience Designer</v>
      </c>
      <c r="U6" s="134"/>
      <c r="V6" s="134"/>
    </row>
    <row r="7" spans="1:22" ht="33.75" customHeight="1" x14ac:dyDescent="0.15">
      <c r="A7" s="134"/>
      <c r="B7" s="134"/>
      <c r="C7" s="138">
        <f ca="1">IFERROR(__xludf.DUMMYFUNCTION("""COMPUTED_VALUE"""),2804059)</f>
        <v>2804059</v>
      </c>
      <c r="D7" s="138" t="str">
        <f ca="1">IFERROR(__xludf.DUMMYFUNCTION("""COMPUTED_VALUE"""),"Advanced")</f>
        <v>Advanced</v>
      </c>
      <c r="E7" s="139" t="str">
        <f ca="1">IFERROR(__xludf.DUMMYFUNCTION("""COMPUTED_VALUE"""),"Winning Back a Lost Customer")</f>
        <v>Winning Back a Lost Customer</v>
      </c>
      <c r="F7" s="140" t="str">
        <f ca="1">IFERROR(__xludf.DUMMYFUNCTION("""COMPUTED_VALUE"""),"Become a Customer Support Specialist")</f>
        <v>Become a Customer Support Specialist</v>
      </c>
      <c r="G7" s="134"/>
      <c r="H7" s="134"/>
      <c r="I7" s="134"/>
      <c r="J7" s="138">
        <f ca="1">IFERROR(__xludf.DUMMYFUNCTION("""COMPUTED_VALUE"""),531463)</f>
        <v>531463</v>
      </c>
      <c r="K7" s="138" t="str">
        <f ca="1">IFERROR(__xludf.DUMMYFUNCTION("""COMPUTED_VALUE"""),"Advanced")</f>
        <v>Advanced</v>
      </c>
      <c r="L7" s="139" t="str">
        <f ca="1">IFERROR(__xludf.DUMMYFUNCTION("""COMPUTED_VALUE"""),"Machine Learning &amp; AI: Advanced Decision Trees")</f>
        <v>Machine Learning &amp; AI: Advanced Decision Trees</v>
      </c>
      <c r="M7" s="140" t="str">
        <f ca="1">IFERROR(__xludf.DUMMYFUNCTION("""COMPUTED_VALUE"""),"Become a Business Analytics Expert")</f>
        <v>Become a Business Analytics Expert</v>
      </c>
      <c r="N7" s="134"/>
      <c r="O7" s="134"/>
      <c r="P7" s="134"/>
      <c r="Q7" s="138">
        <f ca="1">IFERROR(__xludf.DUMMYFUNCTION("""COMPUTED_VALUE"""),5022325)</f>
        <v>5022325</v>
      </c>
      <c r="R7" s="138" t="str">
        <f ca="1">IFERROR(__xludf.DUMMYFUNCTION("""COMPUTED_VALUE"""),"Advanced")</f>
        <v>Advanced</v>
      </c>
      <c r="S7" s="139" t="str">
        <f ca="1">IFERROR(__xludf.DUMMYFUNCTION("""COMPUTED_VALUE"""),"Leveraging Neuroscience in the Workplace")</f>
        <v>Leveraging Neuroscience in the Workplace</v>
      </c>
      <c r="T7" s="140" t="str">
        <f ca="1">IFERROR(__xludf.DUMMYFUNCTION("""COMPUTED_VALUE"""),"Become an Instructional Designer")</f>
        <v>Become an Instructional Designer</v>
      </c>
      <c r="U7" s="134"/>
      <c r="V7" s="134"/>
    </row>
    <row r="8" spans="1:22" ht="33.75" customHeight="1" x14ac:dyDescent="0.15">
      <c r="A8" s="134"/>
      <c r="B8" s="134"/>
      <c r="C8" s="138">
        <f ca="1">IFERROR(__xludf.DUMMYFUNCTION("""COMPUTED_VALUE"""),2819182)</f>
        <v>2819182</v>
      </c>
      <c r="D8" s="138" t="str">
        <f ca="1">IFERROR(__xludf.DUMMYFUNCTION("""COMPUTED_VALUE"""),"Advanced")</f>
        <v>Advanced</v>
      </c>
      <c r="E8" s="139" t="str">
        <f ca="1">IFERROR(__xludf.DUMMYFUNCTION("""COMPUTED_VALUE"""),"Journey Mapping: Case Study in Action")</f>
        <v>Journey Mapping: Case Study in Action</v>
      </c>
      <c r="F8" s="140" t="str">
        <f ca="1">IFERROR(__xludf.DUMMYFUNCTION("""COMPUTED_VALUE"""),"Develop Your Customer Service Skills ")</f>
        <v xml:space="preserve">Develop Your Customer Service Skills </v>
      </c>
      <c r="G8" s="134"/>
      <c r="H8" s="134"/>
      <c r="I8" s="134"/>
      <c r="J8" s="138">
        <f ca="1">IFERROR(__xludf.DUMMYFUNCTION("""COMPUTED_VALUE"""),5022330)</f>
        <v>5022330</v>
      </c>
      <c r="K8" s="138" t="str">
        <f ca="1">IFERROR(__xludf.DUMMYFUNCTION("""COMPUTED_VALUE"""),"Advanced")</f>
        <v>Advanced</v>
      </c>
      <c r="L8" s="139" t="str">
        <f ca="1">IFERROR(__xludf.DUMMYFUNCTION("""COMPUTED_VALUE"""),"People Analytics")</f>
        <v>People Analytics</v>
      </c>
      <c r="M8" s="140" t="str">
        <f ca="1">IFERROR(__xludf.DUMMYFUNCTION("""COMPUTED_VALUE"""),"Become a Data Analyst")</f>
        <v>Become a Data Analyst</v>
      </c>
      <c r="N8" s="134"/>
      <c r="O8" s="134"/>
      <c r="P8" s="134"/>
      <c r="Q8" s="138">
        <f ca="1">IFERROR(__xludf.DUMMYFUNCTION("""COMPUTED_VALUE"""),2812133)</f>
        <v>2812133</v>
      </c>
      <c r="R8" s="138" t="str">
        <f ca="1">IFERROR(__xludf.DUMMYFUNCTION("""COMPUTED_VALUE"""),"Advanced")</f>
        <v>Advanced</v>
      </c>
      <c r="S8" s="139" t="str">
        <f ca="1">IFERROR(__xludf.DUMMYFUNCTION("""COMPUTED_VALUE"""),"Using Neuroscience for More Effective L&amp;D")</f>
        <v>Using Neuroscience for More Effective L&amp;D</v>
      </c>
      <c r="T8" s="140" t="str">
        <f ca="1">IFERROR(__xludf.DUMMYFUNCTION("""COMPUTED_VALUE"""),"Become an Instructional Developer")</f>
        <v>Become an Instructional Developer</v>
      </c>
      <c r="U8" s="134"/>
      <c r="V8" s="134"/>
    </row>
    <row r="9" spans="1:22" ht="30" x14ac:dyDescent="0.15">
      <c r="A9" s="134"/>
      <c r="B9" s="134"/>
      <c r="C9" s="138">
        <f ca="1">IFERROR(__xludf.DUMMYFUNCTION("""COMPUTED_VALUE"""),746263)</f>
        <v>746263</v>
      </c>
      <c r="D9" s="138" t="str">
        <f ca="1">IFERROR(__xludf.DUMMYFUNCTION("""COMPUTED_VALUE"""),"Beginner")</f>
        <v>Beginner</v>
      </c>
      <c r="E9" s="139" t="str">
        <f ca="1">IFERROR(__xludf.DUMMYFUNCTION("""COMPUTED_VALUE"""),"Building Rapport with Customers")</f>
        <v>Building Rapport with Customers</v>
      </c>
      <c r="F9" s="141"/>
      <c r="G9" s="134"/>
      <c r="H9" s="134"/>
      <c r="I9" s="134"/>
      <c r="J9" s="138">
        <f ca="1">IFERROR(__xludf.DUMMYFUNCTION("""COMPUTED_VALUE"""),2819145)</f>
        <v>2819145</v>
      </c>
      <c r="K9" s="138" t="str">
        <f ca="1">IFERROR(__xludf.DUMMYFUNCTION("""COMPUTED_VALUE"""),"Advanced")</f>
        <v>Advanced</v>
      </c>
      <c r="L9" s="139" t="str">
        <f ca="1">IFERROR(__xludf.DUMMYFUNCTION("""COMPUTED_VALUE"""),"Apache Flink: Exploratory Data Analytics with SQL")</f>
        <v>Apache Flink: Exploratory Data Analytics with SQL</v>
      </c>
      <c r="M9" s="140" t="str">
        <f ca="1">IFERROR(__xludf.DUMMYFUNCTION("""COMPUTED_VALUE"""),"Become a Data Analytics Specialist")</f>
        <v>Become a Data Analytics Specialist</v>
      </c>
      <c r="N9" s="134"/>
      <c r="O9" s="134"/>
      <c r="P9" s="134"/>
      <c r="Q9" s="138">
        <f ca="1">IFERROR(__xludf.DUMMYFUNCTION("""COMPUTED_VALUE"""),2825682)</f>
        <v>2825682</v>
      </c>
      <c r="R9" s="138" t="str">
        <f ca="1">IFERROR(__xludf.DUMMYFUNCTION("""COMPUTED_VALUE"""),"Advanced")</f>
        <v>Advanced</v>
      </c>
      <c r="S9" s="139" t="str">
        <f ca="1">IFERROR(__xludf.DUMMYFUNCTION("""COMPUTED_VALUE"""),"Data-Driven Learning Design")</f>
        <v>Data-Driven Learning Design</v>
      </c>
      <c r="T9" s="140" t="str">
        <f ca="1">IFERROR(__xludf.DUMMYFUNCTION("""COMPUTED_VALUE"""),"Become an L&amp;D Professional")</f>
        <v>Become an L&amp;D Professional</v>
      </c>
      <c r="U9" s="134"/>
      <c r="V9" s="134"/>
    </row>
    <row r="10" spans="1:22" ht="33.75" customHeight="1" x14ac:dyDescent="0.15">
      <c r="A10" s="134"/>
      <c r="B10" s="134"/>
      <c r="C10" s="138">
        <f ca="1">IFERROR(__xludf.DUMMYFUNCTION("""COMPUTED_VALUE"""),693076)</f>
        <v>693076</v>
      </c>
      <c r="D10" s="138" t="str">
        <f ca="1">IFERROR(__xludf.DUMMYFUNCTION("""COMPUTED_VALUE"""),"Beginner")</f>
        <v>Beginner</v>
      </c>
      <c r="E10" s="139" t="str">
        <f ca="1">IFERROR(__xludf.DUMMYFUNCTION("""COMPUTED_VALUE"""),"Customer Service Foundations")</f>
        <v>Customer Service Foundations</v>
      </c>
      <c r="F10" s="142"/>
      <c r="G10" s="134"/>
      <c r="H10" s="134"/>
      <c r="I10" s="134"/>
      <c r="J10" s="138">
        <f ca="1">IFERROR(__xludf.DUMMYFUNCTION("""COMPUTED_VALUE"""),2825682)</f>
        <v>2825682</v>
      </c>
      <c r="K10" s="138" t="str">
        <f ca="1">IFERROR(__xludf.DUMMYFUNCTION("""COMPUTED_VALUE"""),"Advanced")</f>
        <v>Advanced</v>
      </c>
      <c r="L10" s="139" t="str">
        <f ca="1">IFERROR(__xludf.DUMMYFUNCTION("""COMPUTED_VALUE"""),"Data-Driven Learning Design")</f>
        <v>Data-Driven Learning Design</v>
      </c>
      <c r="M10" s="150" t="str">
        <f ca="1">IFERROR(__xludf.DUMMYFUNCTION("""COMPUTED_VALUE"""),"Become a Data Scientist")</f>
        <v>Become a Data Scientist</v>
      </c>
      <c r="N10" s="134"/>
      <c r="O10" s="134"/>
      <c r="P10" s="134"/>
      <c r="Q10" s="138">
        <f ca="1">IFERROR(__xludf.DUMMYFUNCTION("""COMPUTED_VALUE"""),777390)</f>
        <v>777390</v>
      </c>
      <c r="R10" s="138" t="str">
        <f ca="1">IFERROR(__xludf.DUMMYFUNCTION("""COMPUTED_VALUE"""),"Beginner")</f>
        <v>Beginner</v>
      </c>
      <c r="S10" s="139" t="str">
        <f ca="1">IFERROR(__xludf.DUMMYFUNCTION("""COMPUTED_VALUE"""),"Corporate Instruction Foundations")</f>
        <v>Corporate Instruction Foundations</v>
      </c>
      <c r="T10" s="150" t="str">
        <f ca="1">IFERROR(__xludf.DUMMYFUNCTION("""COMPUTED_VALUE"""),"Become an Online Instructor")</f>
        <v>Become an Online Instructor</v>
      </c>
      <c r="U10" s="134"/>
      <c r="V10" s="134"/>
    </row>
    <row r="11" spans="1:22" ht="33.75" customHeight="1" x14ac:dyDescent="0.15">
      <c r="A11" s="134"/>
      <c r="B11" s="134"/>
      <c r="C11" s="138">
        <f ca="1">IFERROR(__xludf.DUMMYFUNCTION("""COMPUTED_VALUE"""),598482)</f>
        <v>598482</v>
      </c>
      <c r="D11" s="138" t="str">
        <f ca="1">IFERROR(__xludf.DUMMYFUNCTION("""COMPUTED_VALUE"""),"Beginner")</f>
        <v>Beginner</v>
      </c>
      <c r="E11" s="139" t="str">
        <f ca="1">IFERROR(__xludf.DUMMYFUNCTION("""COMPUTED_VALUE"""),"Customer Service: Writing for Social Media")</f>
        <v>Customer Service: Writing for Social Media</v>
      </c>
      <c r="F11" s="141"/>
      <c r="G11" s="134"/>
      <c r="H11" s="134"/>
      <c r="I11" s="134"/>
      <c r="J11" s="138">
        <f ca="1">IFERROR(__xludf.DUMMYFUNCTION("""COMPUTED_VALUE"""),2841395)</f>
        <v>2841395</v>
      </c>
      <c r="K11" s="138" t="str">
        <f ca="1">IFERROR(__xludf.DUMMYFUNCTION("""COMPUTED_VALUE"""),"Advanced")</f>
        <v>Advanced</v>
      </c>
      <c r="L11" s="139" t="str">
        <f ca="1">IFERROR(__xludf.DUMMYFUNCTION("""COMPUTED_VALUE"""),"Excel VBA: Managing Files and Data")</f>
        <v>Excel VBA: Managing Files and Data</v>
      </c>
      <c r="M11" s="140" t="str">
        <f ca="1">IFERROR(__xludf.DUMMYFUNCTION("""COMPUTED_VALUE"""),"Become a Data Visualization Specialist: Concepts")</f>
        <v>Become a Data Visualization Specialist: Concepts</v>
      </c>
      <c r="N11" s="134"/>
      <c r="O11" s="134"/>
      <c r="P11" s="134"/>
      <c r="Q11" s="138">
        <f ca="1">IFERROR(__xludf.DUMMYFUNCTION("""COMPUTED_VALUE"""),156622)</f>
        <v>156622</v>
      </c>
      <c r="R11" s="138" t="str">
        <f ca="1">IFERROR(__xludf.DUMMYFUNCTION("""COMPUTED_VALUE"""),"Beginner")</f>
        <v>Beginner</v>
      </c>
      <c r="S11" s="139" t="str">
        <f ca="1">IFERROR(__xludf.DUMMYFUNCTION("""COMPUTED_VALUE"""),"Learning Management Systems (LMS) Quick Start")</f>
        <v>Learning Management Systems (LMS) Quick Start</v>
      </c>
      <c r="T11" s="140" t="str">
        <f ca="1">IFERROR(__xludf.DUMMYFUNCTION("""COMPUTED_VALUE"""),"Stay Competitive Using Design Thinking")</f>
        <v>Stay Competitive Using Design Thinking</v>
      </c>
      <c r="U11" s="134"/>
      <c r="V11" s="134"/>
    </row>
    <row r="12" spans="1:22" ht="33.75" customHeight="1" x14ac:dyDescent="0.15">
      <c r="A12" s="134"/>
      <c r="B12" s="134"/>
      <c r="C12" s="138">
        <f ca="1">IFERROR(__xludf.DUMMYFUNCTION("""COMPUTED_VALUE"""),604223)</f>
        <v>604223</v>
      </c>
      <c r="D12" s="138" t="str">
        <f ca="1">IFERROR(__xludf.DUMMYFUNCTION("""COMPUTED_VALUE"""),"Beginner")</f>
        <v>Beginner</v>
      </c>
      <c r="E12" s="139" t="str">
        <f ca="1">IFERROR(__xludf.DUMMYFUNCTION("""COMPUTED_VALUE"""),"Delivering Bad News to a Customer")</f>
        <v>Delivering Bad News to a Customer</v>
      </c>
      <c r="F12" s="141"/>
      <c r="G12" s="134"/>
      <c r="H12" s="134"/>
      <c r="I12" s="134"/>
      <c r="J12" s="138">
        <f ca="1">IFERROR(__xludf.DUMMYFUNCTION("""COMPUTED_VALUE"""),2805908)</f>
        <v>2805908</v>
      </c>
      <c r="K12" s="138" t="str">
        <f ca="1">IFERROR(__xludf.DUMMYFUNCTION("""COMPUTED_VALUE"""),"Beginner")</f>
        <v>Beginner</v>
      </c>
      <c r="L12" s="139" t="str">
        <f ca="1">IFERROR(__xludf.DUMMYFUNCTION("""COMPUTED_VALUE"""),"Data Science Foundations: Fundamentals")</f>
        <v>Data Science Foundations: Fundamentals</v>
      </c>
      <c r="M12" s="140" t="str">
        <f ca="1">IFERROR(__xludf.DUMMYFUNCTION("""COMPUTED_VALUE"""),"Become a Data Visualization Specialist: Tools")</f>
        <v>Become a Data Visualization Specialist: Tools</v>
      </c>
      <c r="N12" s="134"/>
      <c r="O12" s="134"/>
      <c r="P12" s="134"/>
      <c r="Q12" s="138">
        <f ca="1">IFERROR(__xludf.DUMMYFUNCTION("""COMPUTED_VALUE"""),144198)</f>
        <v>144198</v>
      </c>
      <c r="R12" s="138" t="str">
        <f ca="1">IFERROR(__xludf.DUMMYFUNCTION("""COMPUTED_VALUE"""),"Beginner")</f>
        <v>Beginner</v>
      </c>
      <c r="S12" s="139" t="str">
        <f ca="1">IFERROR(__xludf.DUMMYFUNCTION("""COMPUTED_VALUE"""),"Flipping the Classroom")</f>
        <v>Flipping the Classroom</v>
      </c>
      <c r="T12" s="140" t="str">
        <f ca="1">IFERROR(__xludf.DUMMYFUNCTION("""COMPUTED_VALUE"""),"Visual Communication for Business Professionals")</f>
        <v>Visual Communication for Business Professionals</v>
      </c>
      <c r="U12" s="134"/>
      <c r="V12" s="134"/>
    </row>
    <row r="13" spans="1:22" ht="33.75" customHeight="1" x14ac:dyDescent="0.15">
      <c r="A13" s="134"/>
      <c r="B13" s="134"/>
      <c r="C13" s="138">
        <f ca="1">IFERROR(__xludf.DUMMYFUNCTION("""COMPUTED_VALUE"""),518163)</f>
        <v>518163</v>
      </c>
      <c r="D13" s="138" t="str">
        <f ca="1">IFERROR(__xludf.DUMMYFUNCTION("""COMPUTED_VALUE"""),"Beginner")</f>
        <v>Beginner</v>
      </c>
      <c r="E13" s="139" t="str">
        <f ca="1">IFERROR(__xludf.DUMMYFUNCTION("""COMPUTED_VALUE"""),"IT Service Desk: Customer Service Fundamentals")</f>
        <v>IT Service Desk: Customer Service Fundamentals</v>
      </c>
      <c r="F13" s="142"/>
      <c r="G13" s="134"/>
      <c r="H13" s="134"/>
      <c r="I13" s="134"/>
      <c r="J13" s="138">
        <f ca="1">IFERROR(__xludf.DUMMYFUNCTION("""COMPUTED_VALUE"""),2938118)</f>
        <v>2938118</v>
      </c>
      <c r="K13" s="138" t="str">
        <f ca="1">IFERROR(__xludf.DUMMYFUNCTION("""COMPUTED_VALUE"""),"General")</f>
        <v>General</v>
      </c>
      <c r="L13" s="139" t="str">
        <f ca="1">IFERROR(__xludf.DUMMYFUNCTION("""COMPUTED_VALUE"""),"LinkedIn Learning Highlights: Data Science and Analytics")</f>
        <v>LinkedIn Learning Highlights: Data Science and Analytics</v>
      </c>
      <c r="M13" s="150" t="str">
        <f ca="1">IFERROR(__xludf.DUMMYFUNCTION("""COMPUTED_VALUE"""),"Develop Your Data Analysis Skills ")</f>
        <v xml:space="preserve">Develop Your Data Analysis Skills </v>
      </c>
      <c r="N13" s="134"/>
      <c r="O13" s="134"/>
      <c r="P13" s="134"/>
      <c r="Q13" s="138">
        <f ca="1">IFERROR(__xludf.DUMMYFUNCTION("""COMPUTED_VALUE"""),2807860)</f>
        <v>2807860</v>
      </c>
      <c r="R13" s="138" t="str">
        <f ca="1">IFERROR(__xludf.DUMMYFUNCTION("""COMPUTED_VALUE"""),"Beginner")</f>
        <v>Beginner</v>
      </c>
      <c r="S13" s="139" t="str">
        <f ca="1">IFERROR(__xludf.DUMMYFUNCTION("""COMPUTED_VALUE"""),"Learning Articulate Rise")</f>
        <v>Learning Articulate Rise</v>
      </c>
      <c r="T13" s="142"/>
      <c r="U13" s="134"/>
      <c r="V13" s="134"/>
    </row>
    <row r="14" spans="1:22" ht="33.75" customHeight="1" x14ac:dyDescent="0.15">
      <c r="A14" s="134"/>
      <c r="B14" s="134"/>
      <c r="C14" s="138">
        <f ca="1">IFERROR(__xludf.DUMMYFUNCTION("""COMPUTED_VALUE"""),616663)</f>
        <v>616663</v>
      </c>
      <c r="D14" s="138" t="str">
        <f ca="1">IFERROR(__xludf.DUMMYFUNCTION("""COMPUTED_VALUE"""),"Beginner")</f>
        <v>Beginner</v>
      </c>
      <c r="E14" s="139" t="str">
        <f ca="1">IFERROR(__xludf.DUMMYFUNCTION("""COMPUTED_VALUE"""),"Listening to Customers")</f>
        <v>Listening to Customers</v>
      </c>
      <c r="F14" s="141"/>
      <c r="G14" s="134"/>
      <c r="H14" s="134"/>
      <c r="I14" s="134"/>
      <c r="J14" s="138">
        <f ca="1">IFERROR(__xludf.DUMMYFUNCTION("""COMPUTED_VALUE"""),2823140)</f>
        <v>2823140</v>
      </c>
      <c r="K14" s="138" t="str">
        <f ca="1">IFERROR(__xludf.DUMMYFUNCTION("""COMPUTED_VALUE"""),"General")</f>
        <v>General</v>
      </c>
      <c r="L14" s="139" t="str">
        <f ca="1">IFERROR(__xludf.DUMMYFUNCTION("""COMPUTED_VALUE"""),"Tech Ethics: Avoiding Unintended Consequences")</f>
        <v>Tech Ethics: Avoiding Unintended Consequences</v>
      </c>
      <c r="M14" s="140" t="str">
        <f ca="1">IFERROR(__xludf.DUMMYFUNCTION("""COMPUTED_VALUE"""),"Master Advanced Excel Data &amp; Analytics Skills")</f>
        <v>Master Advanced Excel Data &amp; Analytics Skills</v>
      </c>
      <c r="N14" s="134"/>
      <c r="O14" s="134"/>
      <c r="P14" s="134"/>
      <c r="Q14" s="138">
        <f ca="1">IFERROR(__xludf.DUMMYFUNCTION("""COMPUTED_VALUE"""),5035811)</f>
        <v>5035811</v>
      </c>
      <c r="R14" s="138" t="str">
        <f ca="1">IFERROR(__xludf.DUMMYFUNCTION("""COMPUTED_VALUE"""),"Beginner")</f>
        <v>Beginner</v>
      </c>
      <c r="S14" s="139" t="str">
        <f ca="1">IFERROR(__xludf.DUMMYFUNCTION("""COMPUTED_VALUE"""),"Camtasia 2019 for Mac Essential Training")</f>
        <v>Camtasia 2019 for Mac Essential Training</v>
      </c>
      <c r="T14" s="141"/>
      <c r="U14" s="134"/>
      <c r="V14" s="134"/>
    </row>
    <row r="15" spans="1:22" ht="33.75" customHeight="1" x14ac:dyDescent="0.15">
      <c r="A15" s="134"/>
      <c r="B15" s="134"/>
      <c r="C15" s="138">
        <f ca="1">IFERROR(__xludf.DUMMYFUNCTION("""COMPUTED_VALUE"""),456351)</f>
        <v>456351</v>
      </c>
      <c r="D15" s="138" t="str">
        <f ca="1">IFERROR(__xludf.DUMMYFUNCTION("""COMPUTED_VALUE"""),"Beginner")</f>
        <v>Beginner</v>
      </c>
      <c r="E15" s="139" t="str">
        <f ca="1">IFERROR(__xludf.DUMMYFUNCTION("""COMPUTED_VALUE"""),"Customer Service: Managing Customer Expectations")</f>
        <v>Customer Service: Managing Customer Expectations</v>
      </c>
      <c r="F15" s="141"/>
      <c r="G15" s="134"/>
      <c r="H15" s="134"/>
      <c r="I15" s="134"/>
      <c r="J15" s="138">
        <f ca="1">IFERROR(__xludf.DUMMYFUNCTION("""COMPUTED_VALUE"""),2841519)</f>
        <v>2841519</v>
      </c>
      <c r="K15" s="138" t="str">
        <f ca="1">IFERROR(__xludf.DUMMYFUNCTION("""COMPUTED_VALUE"""),"General")</f>
        <v>General</v>
      </c>
      <c r="L15" s="139" t="str">
        <f ca="1">IFERROR(__xludf.DUMMYFUNCTION("""COMPUTED_VALUE"""),"Power BI: Dashboards for Beginners")</f>
        <v>Power BI: Dashboards for Beginners</v>
      </c>
      <c r="M15" s="140" t="str">
        <f ca="1">IFERROR(__xludf.DUMMYFUNCTION("""COMPUTED_VALUE"""),"Master Excel for Data Science")</f>
        <v>Master Excel for Data Science</v>
      </c>
      <c r="N15" s="134"/>
      <c r="O15" s="134"/>
      <c r="P15" s="134"/>
      <c r="Q15" s="138">
        <f ca="1">IFERROR(__xludf.DUMMYFUNCTION("""COMPUTED_VALUE"""),360035)</f>
        <v>360035</v>
      </c>
      <c r="R15" s="138" t="str">
        <f ca="1">IFERROR(__xludf.DUMMYFUNCTION("""COMPUTED_VALUE"""),"Beginner")</f>
        <v>Beginner</v>
      </c>
      <c r="S15" s="139" t="str">
        <f ca="1">IFERROR(__xludf.DUMMYFUNCTION("""COMPUTED_VALUE"""),"Teaching with Technology")</f>
        <v>Teaching with Technology</v>
      </c>
      <c r="T15" s="141"/>
      <c r="U15" s="134"/>
      <c r="V15" s="134"/>
    </row>
    <row r="16" spans="1:22" ht="30" x14ac:dyDescent="0.15">
      <c r="A16" s="134"/>
      <c r="B16" s="134"/>
      <c r="C16" s="138">
        <f ca="1">IFERROR(__xludf.DUMMYFUNCTION("""COMPUTED_VALUE"""),191343)</f>
        <v>191343</v>
      </c>
      <c r="D16" s="138" t="str">
        <f ca="1">IFERROR(__xludf.DUMMYFUNCTION("""COMPUTED_VALUE"""),"Beginner")</f>
        <v>Beginner</v>
      </c>
      <c r="E16" s="139" t="str">
        <f ca="1">IFERROR(__xludf.DUMMYFUNCTION("""COMPUTED_VALUE"""),"Quick Fixes to Attain Excellent Customer Service")</f>
        <v>Quick Fixes to Attain Excellent Customer Service</v>
      </c>
      <c r="F16" s="141"/>
      <c r="G16" s="134"/>
      <c r="H16" s="134"/>
      <c r="I16" s="134"/>
      <c r="J16" s="138">
        <f ca="1">IFERROR(__xludf.DUMMYFUNCTION("""COMPUTED_VALUE"""),2857067)</f>
        <v>2857067</v>
      </c>
      <c r="K16" s="138" t="str">
        <f ca="1">IFERROR(__xludf.DUMMYFUNCTION("""COMPUTED_VALUE"""),"General")</f>
        <v>General</v>
      </c>
      <c r="L16" s="139" t="str">
        <f ca="1">IFERROR(__xludf.DUMMYFUNCTION("""COMPUTED_VALUE"""),"15 Tips for Landing a Data Science Job")</f>
        <v>15 Tips for Landing a Data Science Job</v>
      </c>
      <c r="M16" s="140" t="str">
        <f ca="1">IFERROR(__xludf.DUMMYFUNCTION("""COMPUTED_VALUE"""),"Master Python for Data Science")</f>
        <v>Master Python for Data Science</v>
      </c>
      <c r="N16" s="134"/>
      <c r="O16" s="134"/>
      <c r="P16" s="134"/>
      <c r="Q16" s="138">
        <f ca="1">IFERROR(__xludf.DUMMYFUNCTION("""COMPUTED_VALUE"""),380260)</f>
        <v>380260</v>
      </c>
      <c r="R16" s="138" t="str">
        <f ca="1">IFERROR(__xludf.DUMMYFUNCTION("""COMPUTED_VALUE"""),"Beginner")</f>
        <v>Beginner</v>
      </c>
      <c r="S16" s="139" t="str">
        <f ca="1">IFERROR(__xludf.DUMMYFUNCTION("""COMPUTED_VALUE"""),"Core Strategies for Teaching in Higher Ed")</f>
        <v>Core Strategies for Teaching in Higher Ed</v>
      </c>
      <c r="T16" s="141"/>
      <c r="U16" s="134"/>
      <c r="V16" s="134"/>
    </row>
    <row r="17" spans="1:22" ht="33.75" customHeight="1" x14ac:dyDescent="0.15">
      <c r="A17" s="134"/>
      <c r="B17" s="134"/>
      <c r="C17" s="138">
        <f ca="1">IFERROR(__xludf.DUMMYFUNCTION("""COMPUTED_VALUE"""),580637)</f>
        <v>580637</v>
      </c>
      <c r="D17" s="138" t="str">
        <f ca="1">IFERROR(__xludf.DUMMYFUNCTION("""COMPUTED_VALUE"""),"Beginner")</f>
        <v>Beginner</v>
      </c>
      <c r="E17" s="139" t="str">
        <f ca="1">IFERROR(__xludf.DUMMYFUNCTION("""COMPUTED_VALUE"""),"Thomas A. Stewart and Patricia O'Connell on Designing and Delivering Great Customer Experience")</f>
        <v>Thomas A. Stewart and Patricia O'Connell on Designing and Delivering Great Customer Experience</v>
      </c>
      <c r="F17" s="141"/>
      <c r="G17" s="134"/>
      <c r="H17" s="134"/>
      <c r="I17" s="134"/>
      <c r="J17" s="138">
        <f ca="1">IFERROR(__xludf.DUMMYFUNCTION("""COMPUTED_VALUE"""),573131)</f>
        <v>573131</v>
      </c>
      <c r="K17" s="138" t="str">
        <f ca="1">IFERROR(__xludf.DUMMYFUNCTION("""COMPUTED_VALUE"""),"General")</f>
        <v>General</v>
      </c>
      <c r="L17" s="139" t="str">
        <f ca="1">IFERROR(__xludf.DUMMYFUNCTION("""COMPUTED_VALUE"""),"The Data Science of Media and Entertainment with Barton Poulson")</f>
        <v>The Data Science of Media and Entertainment with Barton Poulson</v>
      </c>
      <c r="M17" s="141"/>
      <c r="N17" s="134"/>
      <c r="O17" s="134"/>
      <c r="P17" s="134"/>
      <c r="Q17" s="138">
        <f ca="1">IFERROR(__xludf.DUMMYFUNCTION("""COMPUTED_VALUE"""),473888)</f>
        <v>473888</v>
      </c>
      <c r="R17" s="138" t="str">
        <f ca="1">IFERROR(__xludf.DUMMYFUNCTION("""COMPUTED_VALUE"""),"Beginner")</f>
        <v>Beginner</v>
      </c>
      <c r="S17" s="139" t="str">
        <f ca="1">IFERROR(__xludf.DUMMYFUNCTION("""COMPUTED_VALUE"""),"Learning to Write a Syllabus")</f>
        <v>Learning to Write a Syllabus</v>
      </c>
      <c r="T17" s="141"/>
      <c r="U17" s="134"/>
      <c r="V17" s="134"/>
    </row>
    <row r="18" spans="1:22" ht="33.75" customHeight="1" x14ac:dyDescent="0.15">
      <c r="A18" s="134"/>
      <c r="B18" s="134"/>
      <c r="C18" s="138">
        <f ca="1">IFERROR(__xludf.DUMMYFUNCTION("""COMPUTED_VALUE"""),533229)</f>
        <v>533229</v>
      </c>
      <c r="D18" s="138" t="str">
        <f ca="1">IFERROR(__xludf.DUMMYFUNCTION("""COMPUTED_VALUE"""),"Beginner")</f>
        <v>Beginner</v>
      </c>
      <c r="E18" s="139" t="str">
        <f ca="1">IFERROR(__xludf.DUMMYFUNCTION("""COMPUTED_VALUE"""),"Writing Customer Service Emails")</f>
        <v>Writing Customer Service Emails</v>
      </c>
      <c r="F18" s="141"/>
      <c r="G18" s="134"/>
      <c r="H18" s="134"/>
      <c r="I18" s="134"/>
      <c r="J18" s="138">
        <f ca="1">IFERROR(__xludf.DUMMYFUNCTION("""COMPUTED_VALUE"""),630612)</f>
        <v>630612</v>
      </c>
      <c r="K18" s="138" t="str">
        <f ca="1">IFERROR(__xludf.DUMMYFUNCTION("""COMPUTED_VALUE"""),"General")</f>
        <v>General</v>
      </c>
      <c r="L18" s="139" t="str">
        <f ca="1">IFERROR(__xludf.DUMMYFUNCTION("""COMPUTED_VALUE"""),"The Data Science of Government and Political Science, with Barton Poulson")</f>
        <v>The Data Science of Government and Political Science, with Barton Poulson</v>
      </c>
      <c r="M18" s="141"/>
      <c r="N18" s="134"/>
      <c r="O18" s="134"/>
      <c r="P18" s="134"/>
      <c r="Q18" s="138">
        <f ca="1">IFERROR(__xludf.DUMMYFUNCTION("""COMPUTED_VALUE"""),765323)</f>
        <v>765323</v>
      </c>
      <c r="R18" s="138" t="str">
        <f ca="1">IFERROR(__xludf.DUMMYFUNCTION("""COMPUTED_VALUE"""),"Beginner")</f>
        <v>Beginner</v>
      </c>
      <c r="S18" s="139" t="str">
        <f ca="1">IFERROR(__xludf.DUMMYFUNCTION("""COMPUTED_VALUE"""),"Teaching with LinkedIn Learning")</f>
        <v>Teaching with LinkedIn Learning</v>
      </c>
      <c r="T18" s="141"/>
      <c r="U18" s="134"/>
      <c r="V18" s="134"/>
    </row>
    <row r="19" spans="1:22" ht="33.75" customHeight="1" x14ac:dyDescent="0.15">
      <c r="A19" s="134"/>
      <c r="B19" s="134"/>
      <c r="C19" s="138">
        <f ca="1">IFERROR(__xludf.DUMMYFUNCTION("""COMPUTED_VALUE"""),2815151)</f>
        <v>2815151</v>
      </c>
      <c r="D19" s="138" t="str">
        <f ca="1">IFERROR(__xludf.DUMMYFUNCTION("""COMPUTED_VALUE"""),"Beginner")</f>
        <v>Beginner</v>
      </c>
      <c r="E19" s="139" t="str">
        <f ca="1">IFERROR(__xludf.DUMMYFUNCTION("""COMPUTED_VALUE"""),"Selling Strategies that Boost Customer Acquisition")</f>
        <v>Selling Strategies that Boost Customer Acquisition</v>
      </c>
      <c r="F19" s="141"/>
      <c r="G19" s="134"/>
      <c r="H19" s="134"/>
      <c r="I19" s="134"/>
      <c r="J19" s="138">
        <f ca="1">IFERROR(__xludf.DUMMYFUNCTION("""COMPUTED_VALUE"""),573130)</f>
        <v>573130</v>
      </c>
      <c r="K19" s="138" t="str">
        <f ca="1">IFERROR(__xludf.DUMMYFUNCTION("""COMPUTED_VALUE"""),"General")</f>
        <v>General</v>
      </c>
      <c r="L19" s="139" t="str">
        <f ca="1">IFERROR(__xludf.DUMMYFUNCTION("""COMPUTED_VALUE"""),"The Data Science of Retail, Sales, and Commerce")</f>
        <v>The Data Science of Retail, Sales, and Commerce</v>
      </c>
      <c r="M19" s="141"/>
      <c r="N19" s="134"/>
      <c r="O19" s="134"/>
      <c r="P19" s="134"/>
      <c r="Q19" s="138">
        <f ca="1">IFERROR(__xludf.DUMMYFUNCTION("""COMPUTED_VALUE"""),415357)</f>
        <v>415357</v>
      </c>
      <c r="R19" s="138" t="str">
        <f ca="1">IFERROR(__xludf.DUMMYFUNCTION("""COMPUTED_VALUE"""),"Beginner")</f>
        <v>Beginner</v>
      </c>
      <c r="S19" s="139" t="str">
        <f ca="1">IFERROR(__xludf.DUMMYFUNCTION("""COMPUTED_VALUE"""),"Educational Technology for Student Success")</f>
        <v>Educational Technology for Student Success</v>
      </c>
      <c r="T19" s="141"/>
      <c r="U19" s="134"/>
      <c r="V19" s="134"/>
    </row>
    <row r="20" spans="1:22" ht="33.75" customHeight="1" x14ac:dyDescent="0.15">
      <c r="A20" s="134"/>
      <c r="B20" s="134"/>
      <c r="C20" s="138">
        <f ca="1">IFERROR(__xludf.DUMMYFUNCTION("""COMPUTED_VALUE"""),2815152)</f>
        <v>2815152</v>
      </c>
      <c r="D20" s="138" t="str">
        <f ca="1">IFERROR(__xludf.DUMMYFUNCTION("""COMPUTED_VALUE"""),"Beginner")</f>
        <v>Beginner</v>
      </c>
      <c r="E20" s="139" t="str">
        <f ca="1">IFERROR(__xludf.DUMMYFUNCTION("""COMPUTED_VALUE"""),"Using Thought Leadership for Customer Acquisition")</f>
        <v>Using Thought Leadership for Customer Acquisition</v>
      </c>
      <c r="F20" s="141"/>
      <c r="G20" s="134"/>
      <c r="H20" s="134"/>
      <c r="I20" s="134"/>
      <c r="J20" s="138">
        <f ca="1">IFERROR(__xludf.DUMMYFUNCTION("""COMPUTED_VALUE"""),490754)</f>
        <v>490754</v>
      </c>
      <c r="K20" s="138" t="str">
        <f ca="1">IFERROR(__xludf.DUMMYFUNCTION("""COMPUTED_VALUE"""),"Beginner")</f>
        <v>Beginner</v>
      </c>
      <c r="L20" s="139" t="str">
        <f ca="1">IFERROR(__xludf.DUMMYFUNCTION("""COMPUTED_VALUE"""),"Business Analysis Foundations: Business Process Modeling")</f>
        <v>Business Analysis Foundations: Business Process Modeling</v>
      </c>
      <c r="M20" s="141"/>
      <c r="N20" s="134"/>
      <c r="O20" s="134"/>
      <c r="P20" s="134"/>
      <c r="Q20" s="138">
        <f ca="1">IFERROR(__xludf.DUMMYFUNCTION("""COMPUTED_VALUE"""),782136)</f>
        <v>782136</v>
      </c>
      <c r="R20" s="138" t="str">
        <f ca="1">IFERROR(__xludf.DUMMYFUNCTION("""COMPUTED_VALUE"""),"Beginner")</f>
        <v>Beginner</v>
      </c>
      <c r="S20" s="139" t="str">
        <f ca="1">IFERROR(__xludf.DUMMYFUNCTION("""COMPUTED_VALUE"""),"Instructional Design Essentials: Models of ID")</f>
        <v>Instructional Design Essentials: Models of ID</v>
      </c>
      <c r="T20" s="141"/>
      <c r="U20" s="134"/>
      <c r="V20" s="134"/>
    </row>
    <row r="21" spans="1:22" ht="33.75" customHeight="1" x14ac:dyDescent="0.15">
      <c r="A21" s="134"/>
      <c r="B21" s="134"/>
      <c r="C21" s="138">
        <f ca="1">IFERROR(__xludf.DUMMYFUNCTION("""COMPUTED_VALUE"""),2823345)</f>
        <v>2823345</v>
      </c>
      <c r="D21" s="138" t="str">
        <f ca="1">IFERROR(__xludf.DUMMYFUNCTION("""COMPUTED_VALUE"""),"Beginner")</f>
        <v>Beginner</v>
      </c>
      <c r="E21" s="139" t="str">
        <f ca="1">IFERROR(__xludf.DUMMYFUNCTION("""COMPUTED_VALUE"""),"Ecommerce Fundamentals")</f>
        <v>Ecommerce Fundamentals</v>
      </c>
      <c r="F21" s="141"/>
      <c r="G21" s="134"/>
      <c r="H21" s="134"/>
      <c r="I21" s="134"/>
      <c r="J21" s="138">
        <f ca="1">IFERROR(__xludf.DUMMYFUNCTION("""COMPUTED_VALUE"""),601768)</f>
        <v>601768</v>
      </c>
      <c r="K21" s="138" t="str">
        <f ca="1">IFERROR(__xludf.DUMMYFUNCTION("""COMPUTED_VALUE"""),"Beginner")</f>
        <v>Beginner</v>
      </c>
      <c r="L21" s="139" t="str">
        <f ca="1">IFERROR(__xludf.DUMMYFUNCTION("""COMPUTED_VALUE"""),"Business Analysis Foundations: Competencies")</f>
        <v>Business Analysis Foundations: Competencies</v>
      </c>
      <c r="M21" s="141"/>
      <c r="N21" s="134"/>
      <c r="O21" s="134"/>
      <c r="P21" s="134"/>
      <c r="Q21" s="138">
        <f ca="1">IFERROR(__xludf.DUMMYFUNCTION("""COMPUTED_VALUE"""),721895)</f>
        <v>721895</v>
      </c>
      <c r="R21" s="138" t="str">
        <f ca="1">IFERROR(__xludf.DUMMYFUNCTION("""COMPUTED_VALUE"""),"Beginner")</f>
        <v>Beginner</v>
      </c>
      <c r="S21" s="139" t="str">
        <f ca="1">IFERROR(__xludf.DUMMYFUNCTION("""COMPUTED_VALUE"""),"Foundations of Corporate Training")</f>
        <v>Foundations of Corporate Training</v>
      </c>
      <c r="T21" s="141"/>
      <c r="U21" s="134"/>
      <c r="V21" s="134"/>
    </row>
    <row r="22" spans="1:22" ht="33.75" customHeight="1" x14ac:dyDescent="0.15">
      <c r="A22" s="134"/>
      <c r="B22" s="134"/>
      <c r="C22" s="138">
        <f ca="1">IFERROR(__xludf.DUMMYFUNCTION("""COMPUTED_VALUE"""),2825032)</f>
        <v>2825032</v>
      </c>
      <c r="D22" s="138" t="str">
        <f ca="1">IFERROR(__xludf.DUMMYFUNCTION("""COMPUTED_VALUE"""),"Beginner")</f>
        <v>Beginner</v>
      </c>
      <c r="E22" s="139" t="str">
        <f ca="1">IFERROR(__xludf.DUMMYFUNCTION("""COMPUTED_VALUE"""),"Empathy for Customer Service Professionals")</f>
        <v>Empathy for Customer Service Professionals</v>
      </c>
      <c r="F22" s="141"/>
      <c r="G22" s="134"/>
      <c r="H22" s="134"/>
      <c r="I22" s="134"/>
      <c r="J22" s="138">
        <f ca="1">IFERROR(__xludf.DUMMYFUNCTION("""COMPUTED_VALUE"""),490753)</f>
        <v>490753</v>
      </c>
      <c r="K22" s="138" t="str">
        <f ca="1">IFERROR(__xludf.DUMMYFUNCTION("""COMPUTED_VALUE"""),"Beginner")</f>
        <v>Beginner</v>
      </c>
      <c r="L22" s="139" t="str">
        <f ca="1">IFERROR(__xludf.DUMMYFUNCTION("""COMPUTED_VALUE"""),"Business Analysis: Business Benefits Realization")</f>
        <v>Business Analysis: Business Benefits Realization</v>
      </c>
      <c r="M22" s="141"/>
      <c r="N22" s="134"/>
      <c r="O22" s="134"/>
      <c r="P22" s="134"/>
      <c r="Q22" s="138">
        <f ca="1">IFERROR(__xludf.DUMMYFUNCTION("""COMPUTED_VALUE"""),2212265)</f>
        <v>2212265</v>
      </c>
      <c r="R22" s="138" t="str">
        <f ca="1">IFERROR(__xludf.DUMMYFUNCTION("""COMPUTED_VALUE"""),"Beginner")</f>
        <v>Beginner</v>
      </c>
      <c r="S22" s="139" t="str">
        <f ca="1">IFERROR(__xludf.DUMMYFUNCTION("""COMPUTED_VALUE"""),"Graphic Design Careers: First Steps")</f>
        <v>Graphic Design Careers: First Steps</v>
      </c>
      <c r="T22" s="141"/>
      <c r="U22" s="134"/>
      <c r="V22" s="134"/>
    </row>
    <row r="23" spans="1:22" ht="33.75" customHeight="1" x14ac:dyDescent="0.15">
      <c r="A23" s="134"/>
      <c r="B23" s="134"/>
      <c r="C23" s="138">
        <f ca="1">IFERROR(__xludf.DUMMYFUNCTION("""COMPUTED_VALUE"""),2824270)</f>
        <v>2824270</v>
      </c>
      <c r="D23" s="138" t="str">
        <f ca="1">IFERROR(__xludf.DUMMYFUNCTION("""COMPUTED_VALUE"""),"Beginner")</f>
        <v>Beginner</v>
      </c>
      <c r="E23" s="139" t="str">
        <f ca="1">IFERROR(__xludf.DUMMYFUNCTION("""COMPUTED_VALUE"""),"Marketing Foundations: Consumer Behavior")</f>
        <v>Marketing Foundations: Consumer Behavior</v>
      </c>
      <c r="F23" s="141"/>
      <c r="G23" s="134"/>
      <c r="H23" s="134"/>
      <c r="I23" s="134"/>
      <c r="J23" s="138">
        <f ca="1">IFERROR(__xludf.DUMMYFUNCTION("""COMPUTED_VALUE"""),765327)</f>
        <v>765327</v>
      </c>
      <c r="K23" s="138" t="str">
        <f ca="1">IFERROR(__xludf.DUMMYFUNCTION("""COMPUTED_VALUE"""),"Beginner")</f>
        <v>Beginner</v>
      </c>
      <c r="L23" s="139" t="str">
        <f ca="1">IFERROR(__xludf.DUMMYFUNCTION("""COMPUTED_VALUE"""),"Data Fluency: Exploring and Describing Data")</f>
        <v>Data Fluency: Exploring and Describing Data</v>
      </c>
      <c r="M23" s="141"/>
      <c r="N23" s="134"/>
      <c r="O23" s="134"/>
      <c r="P23" s="134"/>
      <c r="Q23" s="138">
        <f ca="1">IFERROR(__xludf.DUMMYFUNCTION("""COMPUTED_VALUE"""),2213242)</f>
        <v>2213242</v>
      </c>
      <c r="R23" s="138" t="str">
        <f ca="1">IFERROR(__xludf.DUMMYFUNCTION("""COMPUTED_VALUE"""),"Beginner")</f>
        <v>Beginner</v>
      </c>
      <c r="S23" s="139" t="str">
        <f ca="1">IFERROR(__xludf.DUMMYFUNCTION("""COMPUTED_VALUE"""),"Building a Creative Online Community")</f>
        <v>Building a Creative Online Community</v>
      </c>
      <c r="T23" s="141"/>
      <c r="U23" s="134"/>
      <c r="V23" s="134"/>
    </row>
    <row r="24" spans="1:22" ht="33.75" customHeight="1" x14ac:dyDescent="0.15">
      <c r="A24" s="134"/>
      <c r="B24" s="134"/>
      <c r="C24" s="138">
        <f ca="1">IFERROR(__xludf.DUMMYFUNCTION("""COMPUTED_VALUE"""),2822580)</f>
        <v>2822580</v>
      </c>
      <c r="D24" s="138" t="str">
        <f ca="1">IFERROR(__xludf.DUMMYFUNCTION("""COMPUTED_VALUE"""),"Beginner")</f>
        <v>Beginner</v>
      </c>
      <c r="E24" s="139" t="str">
        <f ca="1">IFERROR(__xludf.DUMMYFUNCTION("""COMPUTED_VALUE"""),"Customer Success Management Fundamentals")</f>
        <v>Customer Success Management Fundamentals</v>
      </c>
      <c r="F24" s="141"/>
      <c r="G24" s="134"/>
      <c r="H24" s="134"/>
      <c r="I24" s="134"/>
      <c r="J24" s="138">
        <f ca="1">IFERROR(__xludf.DUMMYFUNCTION("""COMPUTED_VALUE"""),664826)</f>
        <v>664826</v>
      </c>
      <c r="K24" s="138" t="str">
        <f ca="1">IFERROR(__xludf.DUMMYFUNCTION("""COMPUTED_VALUE"""),"Beginner")</f>
        <v>Beginner</v>
      </c>
      <c r="L24" s="139" t="str">
        <f ca="1">IFERROR(__xludf.DUMMYFUNCTION("""COMPUTED_VALUE"""),"Data Science Tools of the Trade: First Steps")</f>
        <v>Data Science Tools of the Trade: First Steps</v>
      </c>
      <c r="M24" s="141"/>
      <c r="N24" s="134"/>
      <c r="O24" s="134"/>
      <c r="P24" s="134"/>
      <c r="Q24" s="138">
        <f ca="1">IFERROR(__xludf.DUMMYFUNCTION("""COMPUTED_VALUE"""),2804067)</f>
        <v>2804067</v>
      </c>
      <c r="R24" s="138" t="str">
        <f ca="1">IFERROR(__xludf.DUMMYFUNCTION("""COMPUTED_VALUE"""),"Beginner")</f>
        <v>Beginner</v>
      </c>
      <c r="S24" s="139" t="str">
        <f ca="1">IFERROR(__xludf.DUMMYFUNCTION("""COMPUTED_VALUE"""),"Training with Stories")</f>
        <v>Training with Stories</v>
      </c>
      <c r="T24" s="141"/>
      <c r="U24" s="134"/>
      <c r="V24" s="134"/>
    </row>
    <row r="25" spans="1:22" ht="33.75" customHeight="1" x14ac:dyDescent="0.15">
      <c r="A25" s="134"/>
      <c r="B25" s="134"/>
      <c r="C25" s="138">
        <f ca="1">IFERROR(__xludf.DUMMYFUNCTION("""COMPUTED_VALUE"""),2822581)</f>
        <v>2822581</v>
      </c>
      <c r="D25" s="138" t="str">
        <f ca="1">IFERROR(__xludf.DUMMYFUNCTION("""COMPUTED_VALUE"""),"Beginner")</f>
        <v>Beginner</v>
      </c>
      <c r="E25" s="139" t="str">
        <f ca="1">IFERROR(__xludf.DUMMYFUNCTION("""COMPUTED_VALUE"""),"Value Realization Best Practices for Customer Success Management")</f>
        <v>Value Realization Best Practices for Customer Success Management</v>
      </c>
      <c r="F25" s="141"/>
      <c r="G25" s="134"/>
      <c r="H25" s="134"/>
      <c r="I25" s="134"/>
      <c r="J25" s="138">
        <f ca="1">IFERROR(__xludf.DUMMYFUNCTION("""COMPUTED_VALUE"""),385697)</f>
        <v>385697</v>
      </c>
      <c r="K25" s="138" t="str">
        <f ca="1">IFERROR(__xludf.DUMMYFUNCTION("""COMPUTED_VALUE"""),"Beginner")</f>
        <v>Beginner</v>
      </c>
      <c r="L25" s="139" t="str">
        <f ca="1">IFERROR(__xludf.DUMMYFUNCTION("""COMPUTED_VALUE"""),"Database Foundations: Creating and Manipulating Data")</f>
        <v>Database Foundations: Creating and Manipulating Data</v>
      </c>
      <c r="M25" s="141"/>
      <c r="N25" s="134"/>
      <c r="O25" s="134"/>
      <c r="P25" s="134"/>
      <c r="Q25" s="138">
        <f ca="1">IFERROR(__xludf.DUMMYFUNCTION("""COMPUTED_VALUE"""),2810627)</f>
        <v>2810627</v>
      </c>
      <c r="R25" s="138" t="str">
        <f ca="1">IFERROR(__xludf.DUMMYFUNCTION("""COMPUTED_VALUE"""),"Beginner")</f>
        <v>Beginner</v>
      </c>
      <c r="S25" s="139" t="str">
        <f ca="1">IFERROR(__xludf.DUMMYFUNCTION("""COMPUTED_VALUE"""),"Creating Fun and Engaging Video Training: The How")</f>
        <v>Creating Fun and Engaging Video Training: The How</v>
      </c>
      <c r="T25" s="141"/>
      <c r="U25" s="134"/>
      <c r="V25" s="134"/>
    </row>
    <row r="26" spans="1:22" ht="33.75" customHeight="1" x14ac:dyDescent="0.15">
      <c r="A26" s="134"/>
      <c r="B26" s="134"/>
      <c r="C26" s="138">
        <f ca="1">IFERROR(__xludf.DUMMYFUNCTION("""COMPUTED_VALUE"""),2822582)</f>
        <v>2822582</v>
      </c>
      <c r="D26" s="138" t="str">
        <f ca="1">IFERROR(__xludf.DUMMYFUNCTION("""COMPUTED_VALUE"""),"Beginner")</f>
        <v>Beginner</v>
      </c>
      <c r="E26" s="139" t="str">
        <f ca="1">IFERROR(__xludf.DUMMYFUNCTION("""COMPUTED_VALUE"""),"Avoiding Common Pitfalls in Customer Success Management")</f>
        <v>Avoiding Common Pitfalls in Customer Success Management</v>
      </c>
      <c r="F26" s="141"/>
      <c r="G26" s="134"/>
      <c r="H26" s="134"/>
      <c r="I26" s="134"/>
      <c r="J26" s="138">
        <f ca="1">IFERROR(__xludf.DUMMYFUNCTION("""COMPUTED_VALUE"""),5026557)</f>
        <v>5026557</v>
      </c>
      <c r="K26" s="138" t="str">
        <f ca="1">IFERROR(__xludf.DUMMYFUNCTION("""COMPUTED_VALUE"""),"Beginner")</f>
        <v>Beginner</v>
      </c>
      <c r="L26" s="139" t="str">
        <f ca="1">IFERROR(__xludf.DUMMYFUNCTION("""COMPUTED_VALUE"""),"Excel Statistics Essential Training: 1")</f>
        <v>Excel Statistics Essential Training: 1</v>
      </c>
      <c r="M26" s="141"/>
      <c r="N26" s="134"/>
      <c r="O26" s="134"/>
      <c r="P26" s="134"/>
      <c r="Q26" s="138">
        <f ca="1">IFERROR(__xludf.DUMMYFUNCTION("""COMPUTED_VALUE"""),2811711)</f>
        <v>2811711</v>
      </c>
      <c r="R26" s="138" t="str">
        <f ca="1">IFERROR(__xludf.DUMMYFUNCTION("""COMPUTED_VALUE"""),"Beginner")</f>
        <v>Beginner</v>
      </c>
      <c r="S26" s="139" t="str">
        <f ca="1">IFERROR(__xludf.DUMMYFUNCTION("""COMPUTED_VALUE"""),"Creating Fun and Engaging Video Training: The Why")</f>
        <v>Creating Fun and Engaging Video Training: The Why</v>
      </c>
      <c r="T26" s="141"/>
      <c r="U26" s="134"/>
      <c r="V26" s="134"/>
    </row>
    <row r="27" spans="1:22" ht="33.75" customHeight="1" x14ac:dyDescent="0.15">
      <c r="A27" s="134"/>
      <c r="B27" s="134"/>
      <c r="C27" s="138">
        <f ca="1">IFERROR(__xludf.DUMMYFUNCTION("""COMPUTED_VALUE"""),2823488)</f>
        <v>2823488</v>
      </c>
      <c r="D27" s="138" t="str">
        <f ca="1">IFERROR(__xludf.DUMMYFUNCTION("""COMPUTED_VALUE"""),"Beginner")</f>
        <v>Beginner</v>
      </c>
      <c r="E27" s="139" t="str">
        <f ca="1">IFERROR(__xludf.DUMMYFUNCTION("""COMPUTED_VALUE"""),"Onboarding and Adoption Best Practices for Customer Success Management")</f>
        <v>Onboarding and Adoption Best Practices for Customer Success Management</v>
      </c>
      <c r="F27" s="141"/>
      <c r="G27" s="134"/>
      <c r="H27" s="134"/>
      <c r="I27" s="134"/>
      <c r="J27" s="138">
        <f ca="1">IFERROR(__xludf.DUMMYFUNCTION("""COMPUTED_VALUE"""),571622)</f>
        <v>571622</v>
      </c>
      <c r="K27" s="138" t="str">
        <f ca="1">IFERROR(__xludf.DUMMYFUNCTION("""COMPUTED_VALUE"""),"Beginner")</f>
        <v>Beginner</v>
      </c>
      <c r="L27" s="139" t="str">
        <f ca="1">IFERROR(__xludf.DUMMYFUNCTION("""COMPUTED_VALUE"""),"Insights on Data Science: Lillian Pierson")</f>
        <v>Insights on Data Science: Lillian Pierson</v>
      </c>
      <c r="M27" s="141"/>
      <c r="N27" s="134"/>
      <c r="O27" s="134"/>
      <c r="P27" s="134"/>
      <c r="Q27" s="138">
        <f ca="1">IFERROR(__xludf.DUMMYFUNCTION("""COMPUTED_VALUE"""),2813284)</f>
        <v>2813284</v>
      </c>
      <c r="R27" s="138" t="str">
        <f ca="1">IFERROR(__xludf.DUMMYFUNCTION("""COMPUTED_VALUE"""),"Beginner")</f>
        <v>Beginner</v>
      </c>
      <c r="S27" s="139" t="str">
        <f ca="1">IFERROR(__xludf.DUMMYFUNCTION("""COMPUTED_VALUE"""),"Build Your Own Professional Training: Quick Start Guide")</f>
        <v>Build Your Own Professional Training: Quick Start Guide</v>
      </c>
      <c r="T27" s="141"/>
      <c r="U27" s="134"/>
      <c r="V27" s="134"/>
    </row>
    <row r="28" spans="1:22" ht="33.75" customHeight="1" x14ac:dyDescent="0.15">
      <c r="A28" s="134"/>
      <c r="B28" s="134"/>
      <c r="C28" s="138">
        <f ca="1">IFERROR(__xludf.DUMMYFUNCTION("""COMPUTED_VALUE"""),2824356)</f>
        <v>2824356</v>
      </c>
      <c r="D28" s="138" t="str">
        <f ca="1">IFERROR(__xludf.DUMMYFUNCTION("""COMPUTED_VALUE"""),"Beginner")</f>
        <v>Beginner</v>
      </c>
      <c r="E28" s="139" t="str">
        <f ca="1">IFERROR(__xludf.DUMMYFUNCTION("""COMPUTED_VALUE"""),"Engagement Preparation Best Practices for Customer Success Management")</f>
        <v>Engagement Preparation Best Practices for Customer Success Management</v>
      </c>
      <c r="F28" s="141"/>
      <c r="G28" s="134"/>
      <c r="H28" s="134"/>
      <c r="I28" s="134"/>
      <c r="J28" s="138">
        <f ca="1">IFERROR(__xludf.DUMMYFUNCTION("""COMPUTED_VALUE"""),624309)</f>
        <v>624309</v>
      </c>
      <c r="K28" s="138" t="str">
        <f ca="1">IFERROR(__xludf.DUMMYFUNCTION("""COMPUTED_VALUE"""),"Beginner")</f>
        <v>Beginner</v>
      </c>
      <c r="L28" s="139" t="str">
        <f ca="1">IFERROR(__xludf.DUMMYFUNCTION("""COMPUTED_VALUE"""),"Learning Data Analytics")</f>
        <v>Learning Data Analytics</v>
      </c>
      <c r="M28" s="141"/>
      <c r="N28" s="134"/>
      <c r="O28" s="134"/>
      <c r="P28" s="134"/>
      <c r="Q28" s="138">
        <f ca="1">IFERROR(__xludf.DUMMYFUNCTION("""COMPUTED_VALUE"""),2814098)</f>
        <v>2814098</v>
      </c>
      <c r="R28" s="138" t="str">
        <f ca="1">IFERROR(__xludf.DUMMYFUNCTION("""COMPUTED_VALUE"""),"Beginner")</f>
        <v>Beginner</v>
      </c>
      <c r="S28" s="139" t="str">
        <f ca="1">IFERROR(__xludf.DUMMYFUNCTION("""COMPUTED_VALUE"""),"Using Humor In Training to Engage Your Audience")</f>
        <v>Using Humor In Training to Engage Your Audience</v>
      </c>
      <c r="T28" s="141"/>
      <c r="U28" s="134"/>
      <c r="V28" s="134"/>
    </row>
    <row r="29" spans="1:22" ht="33.75" customHeight="1" x14ac:dyDescent="0.15">
      <c r="A29" s="134"/>
      <c r="B29" s="134"/>
      <c r="C29" s="138">
        <f ca="1">IFERROR(__xludf.DUMMYFUNCTION("""COMPUTED_VALUE"""),2824357)</f>
        <v>2824357</v>
      </c>
      <c r="D29" s="138" t="str">
        <f ca="1">IFERROR(__xludf.DUMMYFUNCTION("""COMPUTED_VALUE"""),"Beginner")</f>
        <v>Beginner</v>
      </c>
      <c r="E29" s="139" t="str">
        <f ca="1">IFERROR(__xludf.DUMMYFUNCTION("""COMPUTED_VALUE"""),"Engagement Evaluation Best Practices for Customer Success Management")</f>
        <v>Engagement Evaluation Best Practices for Customer Success Management</v>
      </c>
      <c r="F29" s="141"/>
      <c r="G29" s="134"/>
      <c r="H29" s="134"/>
      <c r="I29" s="134"/>
      <c r="J29" s="138">
        <f ca="1">IFERROR(__xludf.DUMMYFUNCTION("""COMPUTED_VALUE"""),477450)</f>
        <v>477450</v>
      </c>
      <c r="K29" s="138" t="str">
        <f ca="1">IFERROR(__xludf.DUMMYFUNCTION("""COMPUTED_VALUE"""),"Beginner")</f>
        <v>Beginner</v>
      </c>
      <c r="L29" s="139" t="str">
        <f ca="1">IFERROR(__xludf.DUMMYFUNCTION("""COMPUTED_VALUE"""),"Learning Data Science: Tell Stories With Data")</f>
        <v>Learning Data Science: Tell Stories With Data</v>
      </c>
      <c r="M29" s="141"/>
      <c r="N29" s="134"/>
      <c r="O29" s="134"/>
      <c r="P29" s="134"/>
      <c r="Q29" s="138">
        <f ca="1">IFERROR(__xludf.DUMMYFUNCTION("""COMPUTED_VALUE"""),2817188)</f>
        <v>2817188</v>
      </c>
      <c r="R29" s="138" t="str">
        <f ca="1">IFERROR(__xludf.DUMMYFUNCTION("""COMPUTED_VALUE"""),"Beginner")</f>
        <v>Beginner</v>
      </c>
      <c r="S29" s="139" t="str">
        <f ca="1">IFERROR(__xludf.DUMMYFUNCTION("""COMPUTED_VALUE"""),"Articulate Storyline Essential Training")</f>
        <v>Articulate Storyline Essential Training</v>
      </c>
      <c r="T29" s="141"/>
      <c r="U29" s="134"/>
      <c r="V29" s="134"/>
    </row>
    <row r="30" spans="1:22" ht="33.75" customHeight="1" x14ac:dyDescent="0.15">
      <c r="A30" s="134"/>
      <c r="B30" s="134"/>
      <c r="C30" s="138">
        <f ca="1">IFERROR(__xludf.DUMMYFUNCTION("""COMPUTED_VALUE"""),2825603)</f>
        <v>2825603</v>
      </c>
      <c r="D30" s="138" t="str">
        <f ca="1">IFERROR(__xludf.DUMMYFUNCTION("""COMPUTED_VALUE"""),"Beginner")</f>
        <v>Beginner</v>
      </c>
      <c r="E30" s="139" t="str">
        <f ca="1">IFERROR(__xludf.DUMMYFUNCTION("""COMPUTED_VALUE"""),"Business Fundamentals for Customer Success Managers")</f>
        <v>Business Fundamentals for Customer Success Managers</v>
      </c>
      <c r="F30" s="141"/>
      <c r="G30" s="134"/>
      <c r="H30" s="134"/>
      <c r="I30" s="134"/>
      <c r="J30" s="138">
        <f ca="1">IFERROR(__xludf.DUMMYFUNCTION("""COMPUTED_VALUE"""),477452)</f>
        <v>477452</v>
      </c>
      <c r="K30" s="138" t="str">
        <f ca="1">IFERROR(__xludf.DUMMYFUNCTION("""COMPUTED_VALUE"""),"Beginner")</f>
        <v>Beginner</v>
      </c>
      <c r="L30" s="139" t="str">
        <f ca="1">IFERROR(__xludf.DUMMYFUNCTION("""COMPUTED_VALUE"""),"Learning Data Science: Understanding the Basics")</f>
        <v>Learning Data Science: Understanding the Basics</v>
      </c>
      <c r="M30" s="141"/>
      <c r="N30" s="134"/>
      <c r="O30" s="134"/>
      <c r="P30" s="134"/>
      <c r="Q30" s="138">
        <f ca="1">IFERROR(__xludf.DUMMYFUNCTION("""COMPUTED_VALUE"""),2818145)</f>
        <v>2818145</v>
      </c>
      <c r="R30" s="138" t="str">
        <f ca="1">IFERROR(__xludf.DUMMYFUNCTION("""COMPUTED_VALUE"""),"Beginner")</f>
        <v>Beginner</v>
      </c>
      <c r="S30" s="139" t="str">
        <f ca="1">IFERROR(__xludf.DUMMYFUNCTION("""COMPUTED_VALUE"""),"Learning to Teach Online")</f>
        <v>Learning to Teach Online</v>
      </c>
      <c r="T30" s="141"/>
      <c r="U30" s="134"/>
      <c r="V30" s="134"/>
    </row>
    <row r="31" spans="1:22" ht="33.75" customHeight="1" x14ac:dyDescent="0.15">
      <c r="A31" s="134"/>
      <c r="B31" s="134"/>
      <c r="C31" s="138">
        <f ca="1">IFERROR(__xludf.DUMMYFUNCTION("""COMPUTED_VALUE"""),2841603)</f>
        <v>2841603</v>
      </c>
      <c r="D31" s="138" t="str">
        <f ca="1">IFERROR(__xludf.DUMMYFUNCTION("""COMPUTED_VALUE"""),"Beginner")</f>
        <v>Beginner</v>
      </c>
      <c r="E31" s="139" t="str">
        <f ca="1">IFERROR(__xludf.DUMMYFUNCTION("""COMPUTED_VALUE"""),"Customer Service and Support During Economic Downturns")</f>
        <v>Customer Service and Support During Economic Downturns</v>
      </c>
      <c r="F31" s="141"/>
      <c r="G31" s="134"/>
      <c r="H31" s="134"/>
      <c r="I31" s="134"/>
      <c r="J31" s="138">
        <f ca="1">IFERROR(__xludf.DUMMYFUNCTION("""COMPUTED_VALUE"""),5005071)</f>
        <v>5005071</v>
      </c>
      <c r="K31" s="138" t="str">
        <f ca="1">IFERROR(__xludf.DUMMYFUNCTION("""COMPUTED_VALUE"""),"Beginner")</f>
        <v>Beginner</v>
      </c>
      <c r="L31" s="139" t="str">
        <f ca="1">IFERROR(__xludf.DUMMYFUNCTION("""COMPUTED_VALUE"""),"Learning Data Visualization")</f>
        <v>Learning Data Visualization</v>
      </c>
      <c r="M31" s="141"/>
      <c r="N31" s="134"/>
      <c r="O31" s="134"/>
      <c r="P31" s="134"/>
      <c r="Q31" s="138">
        <f ca="1">IFERROR(__xludf.DUMMYFUNCTION("""COMPUTED_VALUE"""),2822593)</f>
        <v>2822593</v>
      </c>
      <c r="R31" s="138" t="str">
        <f ca="1">IFERROR(__xludf.DUMMYFUNCTION("""COMPUTED_VALUE"""),"Beginner")</f>
        <v>Beginner</v>
      </c>
      <c r="S31" s="139" t="str">
        <f ca="1">IFERROR(__xludf.DUMMYFUNCTION("""COMPUTED_VALUE"""),"Learning Moodle 3.9")</f>
        <v>Learning Moodle 3.9</v>
      </c>
      <c r="T31" s="141"/>
      <c r="U31" s="134"/>
      <c r="V31" s="134"/>
    </row>
    <row r="32" spans="1:22" ht="33.75" customHeight="1" x14ac:dyDescent="0.15">
      <c r="A32" s="134"/>
      <c r="B32" s="134"/>
      <c r="C32" s="138">
        <f ca="1">IFERROR(__xludf.DUMMYFUNCTION("""COMPUTED_VALUE"""),2823199)</f>
        <v>2823199</v>
      </c>
      <c r="D32" s="138" t="str">
        <f ca="1">IFERROR(__xludf.DUMMYFUNCTION("""COMPUTED_VALUE"""),"Beginner + Intermediate")</f>
        <v>Beginner + Intermediate</v>
      </c>
      <c r="E32" s="139" t="str">
        <f ca="1">IFERROR(__xludf.DUMMYFUNCTION("""COMPUTED_VALUE"""),"Data Ethics: Managing Your Private Customer Data")</f>
        <v>Data Ethics: Managing Your Private Customer Data</v>
      </c>
      <c r="F32" s="141"/>
      <c r="G32" s="134"/>
      <c r="H32" s="134"/>
      <c r="I32" s="134"/>
      <c r="J32" s="138">
        <f ca="1">IFERROR(__xludf.DUMMYFUNCTION("""COMPUTED_VALUE"""),806168)</f>
        <v>806168</v>
      </c>
      <c r="K32" s="138" t="str">
        <f ca="1">IFERROR(__xludf.DUMMYFUNCTION("""COMPUTED_VALUE"""),"Beginner")</f>
        <v>Beginner</v>
      </c>
      <c r="L32" s="139" t="str">
        <f ca="1">IFERROR(__xludf.DUMMYFUNCTION("""COMPUTED_VALUE"""),"Learning Excel: Data Analysis")</f>
        <v>Learning Excel: Data Analysis</v>
      </c>
      <c r="M32" s="141"/>
      <c r="N32" s="134"/>
      <c r="O32" s="134"/>
      <c r="P32" s="134"/>
      <c r="Q32" s="138">
        <f ca="1">IFERROR(__xludf.DUMMYFUNCTION("""COMPUTED_VALUE"""),2823568)</f>
        <v>2823568</v>
      </c>
      <c r="R32" s="138" t="str">
        <f ca="1">IFERROR(__xludf.DUMMYFUNCTION("""COMPUTED_VALUE"""),"Beginner")</f>
        <v>Beginner</v>
      </c>
      <c r="S32" s="139" t="str">
        <f ca="1">IFERROR(__xludf.DUMMYFUNCTION("""COMPUTED_VALUE"""),"How to Turn Your Entrepreneur Journey into a Successful Keynote Talk")</f>
        <v>How to Turn Your Entrepreneur Journey into a Successful Keynote Talk</v>
      </c>
      <c r="T32" s="141"/>
      <c r="U32" s="134"/>
      <c r="V32" s="134"/>
    </row>
    <row r="33" spans="1:22" ht="33.75" customHeight="1" x14ac:dyDescent="0.15">
      <c r="A33" s="134"/>
      <c r="B33" s="134"/>
      <c r="C33" s="138">
        <f ca="1">IFERROR(__xludf.DUMMYFUNCTION("""COMPUTED_VALUE"""),2823165)</f>
        <v>2823165</v>
      </c>
      <c r="D33" s="138" t="str">
        <f ca="1">IFERROR(__xludf.DUMMYFUNCTION("""COMPUTED_VALUE"""),"Beginner + Intermediate")</f>
        <v>Beginner + Intermediate</v>
      </c>
      <c r="E33" s="139" t="str">
        <f ca="1">IFERROR(__xludf.DUMMYFUNCTION("""COMPUTED_VALUE"""),"Empathy in UX Design")</f>
        <v>Empathy in UX Design</v>
      </c>
      <c r="F33" s="141"/>
      <c r="G33" s="134"/>
      <c r="H33" s="134"/>
      <c r="I33" s="134"/>
      <c r="J33" s="138">
        <f ca="1">IFERROR(__xludf.DUMMYFUNCTION("""COMPUTED_VALUE"""),418857)</f>
        <v>418857</v>
      </c>
      <c r="K33" s="138" t="str">
        <f ca="1">IFERROR(__xludf.DUMMYFUNCTION("""COMPUTED_VALUE"""),"Beginner")</f>
        <v>Beginner</v>
      </c>
      <c r="L33" s="139" t="str">
        <f ca="1">IFERROR(__xludf.DUMMYFUNCTION("""COMPUTED_VALUE"""),"Learning Information Governance")</f>
        <v>Learning Information Governance</v>
      </c>
      <c r="M33" s="141"/>
      <c r="N33" s="134"/>
      <c r="O33" s="134"/>
      <c r="P33" s="134"/>
      <c r="Q33" s="138">
        <f ca="1">IFERROR(__xludf.DUMMYFUNCTION("""COMPUTED_VALUE"""),2853001)</f>
        <v>2853001</v>
      </c>
      <c r="R33" s="138" t="str">
        <f ca="1">IFERROR(__xludf.DUMMYFUNCTION("""COMPUTED_VALUE"""),"Beginner")</f>
        <v>Beginner</v>
      </c>
      <c r="S33" s="139" t="str">
        <f ca="1">IFERROR(__xludf.DUMMYFUNCTION("""COMPUTED_VALUE"""),"Empathy in Business: Design for Success")</f>
        <v>Empathy in Business: Design for Success</v>
      </c>
      <c r="T33" s="141"/>
      <c r="U33" s="134"/>
      <c r="V33" s="134"/>
    </row>
    <row r="34" spans="1:22" ht="33.75" customHeight="1" x14ac:dyDescent="0.15">
      <c r="A34" s="134"/>
      <c r="B34" s="134"/>
      <c r="C34" s="138">
        <f ca="1">IFERROR(__xludf.DUMMYFUNCTION("""COMPUTED_VALUE"""),574679)</f>
        <v>574679</v>
      </c>
      <c r="D34" s="138" t="str">
        <f ca="1">IFERROR(__xludf.DUMMYFUNCTION("""COMPUTED_VALUE"""),"Beginner + Intermediate")</f>
        <v>Beginner + Intermediate</v>
      </c>
      <c r="E34" s="139" t="str">
        <f ca="1">IFERROR(__xludf.DUMMYFUNCTION("""COMPUTED_VALUE"""),"Customer Retention")</f>
        <v>Customer Retention</v>
      </c>
      <c r="F34" s="141"/>
      <c r="G34" s="134"/>
      <c r="H34" s="134"/>
      <c r="I34" s="134"/>
      <c r="J34" s="138">
        <f ca="1">IFERROR(__xludf.DUMMYFUNCTION("""COMPUTED_VALUE"""),604214)</f>
        <v>604214</v>
      </c>
      <c r="K34" s="138" t="str">
        <f ca="1">IFERROR(__xludf.DUMMYFUNCTION("""COMPUTED_VALUE"""),"Beginner")</f>
        <v>Beginner</v>
      </c>
      <c r="L34" s="139" t="str">
        <f ca="1">IFERROR(__xludf.DUMMYFUNCTION("""COMPUTED_VALUE"""),"Learning Relational Databases")</f>
        <v>Learning Relational Databases</v>
      </c>
      <c r="M34" s="141"/>
      <c r="N34" s="134"/>
      <c r="O34" s="134"/>
      <c r="P34" s="134"/>
      <c r="Q34" s="138">
        <f ca="1">IFERROR(__xludf.DUMMYFUNCTION("""COMPUTED_VALUE"""),2864218)</f>
        <v>2864218</v>
      </c>
      <c r="R34" s="138" t="str">
        <f ca="1">IFERROR(__xludf.DUMMYFUNCTION("""COMPUTED_VALUE"""),"Beginner")</f>
        <v>Beginner</v>
      </c>
      <c r="S34" s="139" t="str">
        <f ca="1">IFERROR(__xludf.DUMMYFUNCTION("""COMPUTED_VALUE"""),"Pivoting to Virtual Events")</f>
        <v>Pivoting to Virtual Events</v>
      </c>
      <c r="T34" s="141"/>
      <c r="U34" s="134"/>
      <c r="V34" s="134"/>
    </row>
    <row r="35" spans="1:22" ht="33.75" customHeight="1" x14ac:dyDescent="0.15">
      <c r="A35" s="134"/>
      <c r="B35" s="134"/>
      <c r="C35" s="138">
        <f ca="1">IFERROR(__xludf.DUMMYFUNCTION("""COMPUTED_VALUE"""),616664)</f>
        <v>616664</v>
      </c>
      <c r="D35" s="138" t="str">
        <f ca="1">IFERROR(__xludf.DUMMYFUNCTION("""COMPUTED_VALUE"""),"Beginner + Intermediate")</f>
        <v>Beginner + Intermediate</v>
      </c>
      <c r="E35" s="139" t="str">
        <f ca="1">IFERROR(__xludf.DUMMYFUNCTION("""COMPUTED_VALUE"""),"Customer Service in the Field")</f>
        <v>Customer Service in the Field</v>
      </c>
      <c r="F35" s="141"/>
      <c r="G35" s="134"/>
      <c r="H35" s="134"/>
      <c r="I35" s="134"/>
      <c r="J35" s="138">
        <f ca="1">IFERROR(__xludf.DUMMYFUNCTION("""COMPUTED_VALUE"""),529333)</f>
        <v>529333</v>
      </c>
      <c r="K35" s="138" t="str">
        <f ca="1">IFERROR(__xludf.DUMMYFUNCTION("""COMPUTED_VALUE"""),"Beginner")</f>
        <v>Beginner</v>
      </c>
      <c r="L35" s="139" t="str">
        <f ca="1">IFERROR(__xludf.DUMMYFUNCTION("""COMPUTED_VALUE"""),"Machine Learning and AI Foundations: Decision Trees")</f>
        <v>Machine Learning and AI Foundations: Decision Trees</v>
      </c>
      <c r="M35" s="141"/>
      <c r="N35" s="134"/>
      <c r="O35" s="134"/>
      <c r="P35" s="134"/>
      <c r="Q35" s="138">
        <f ca="1">IFERROR(__xludf.DUMMYFUNCTION("""COMPUTED_VALUE"""),2822030)</f>
        <v>2822030</v>
      </c>
      <c r="R35" s="138" t="str">
        <f ca="1">IFERROR(__xludf.DUMMYFUNCTION("""COMPUTED_VALUE"""),"Beginner")</f>
        <v>Beginner</v>
      </c>
      <c r="S35" s="139" t="str">
        <f ca="1">IFERROR(__xludf.DUMMYFUNCTION("""COMPUTED_VALUE"""),"Components of Effective Learning")</f>
        <v>Components of Effective Learning</v>
      </c>
      <c r="T35" s="141"/>
      <c r="U35" s="134"/>
      <c r="V35" s="134"/>
    </row>
    <row r="36" spans="1:22" ht="33.75" customHeight="1" x14ac:dyDescent="0.15">
      <c r="A36" s="134"/>
      <c r="B36" s="134"/>
      <c r="C36" s="138">
        <f ca="1">IFERROR(__xludf.DUMMYFUNCTION("""COMPUTED_VALUE"""),661753)</f>
        <v>661753</v>
      </c>
      <c r="D36" s="138" t="str">
        <f ca="1">IFERROR(__xludf.DUMMYFUNCTION("""COMPUTED_VALUE"""),"Beginner + Intermediate")</f>
        <v>Beginner + Intermediate</v>
      </c>
      <c r="E36" s="139" t="str">
        <f ca="1">IFERROR(__xludf.DUMMYFUNCTION("""COMPUTED_VALUE"""),"Customer Service: Handling Abusive Customers")</f>
        <v>Customer Service: Handling Abusive Customers</v>
      </c>
      <c r="F36" s="141"/>
      <c r="G36" s="134"/>
      <c r="H36" s="134"/>
      <c r="I36" s="134"/>
      <c r="J36" s="138">
        <f ca="1">IFERROR(__xludf.DUMMYFUNCTION("""COMPUTED_VALUE"""),672259)</f>
        <v>672259</v>
      </c>
      <c r="K36" s="138" t="str">
        <f ca="1">IFERROR(__xludf.DUMMYFUNCTION("""COMPUTED_VALUE"""),"Beginner")</f>
        <v>Beginner</v>
      </c>
      <c r="L36" s="139" t="str">
        <f ca="1">IFERROR(__xludf.DUMMYFUNCTION("""COMPUTED_VALUE"""),"SQL for Exploratory Data Analysis Essential Training")</f>
        <v>SQL for Exploratory Data Analysis Essential Training</v>
      </c>
      <c r="M36" s="141"/>
      <c r="N36" s="134"/>
      <c r="O36" s="134"/>
      <c r="P36" s="134"/>
      <c r="Q36" s="138">
        <f ca="1">IFERROR(__xludf.DUMMYFUNCTION("""COMPUTED_VALUE"""),5035801)</f>
        <v>5035801</v>
      </c>
      <c r="R36" s="138" t="str">
        <f ca="1">IFERROR(__xludf.DUMMYFUNCTION("""COMPUTED_VALUE"""),"Beginner + Intermediate")</f>
        <v>Beginner + Intermediate</v>
      </c>
      <c r="S36" s="139" t="str">
        <f ca="1">IFERROR(__xludf.DUMMYFUNCTION("""COMPUTED_VALUE"""),"Cert Prep: Adobe Certified Associate - InDesign")</f>
        <v>Cert Prep: Adobe Certified Associate - InDesign</v>
      </c>
      <c r="T36" s="141"/>
      <c r="U36" s="134"/>
      <c r="V36" s="134"/>
    </row>
    <row r="37" spans="1:22" ht="33.75" customHeight="1" x14ac:dyDescent="0.15">
      <c r="A37" s="134"/>
      <c r="B37" s="134"/>
      <c r="C37" s="138">
        <f ca="1">IFERROR(__xludf.DUMMYFUNCTION("""COMPUTED_VALUE"""),704116)</f>
        <v>704116</v>
      </c>
      <c r="D37" s="138" t="str">
        <f ca="1">IFERROR(__xludf.DUMMYFUNCTION("""COMPUTED_VALUE"""),"Beginner + Intermediate")</f>
        <v>Beginner + Intermediate</v>
      </c>
      <c r="E37" s="139" t="str">
        <f ca="1">IFERROR(__xludf.DUMMYFUNCTION("""COMPUTED_VALUE"""),"Customer Service: Managing Customer Feedback")</f>
        <v>Customer Service: Managing Customer Feedback</v>
      </c>
      <c r="F37" s="141"/>
      <c r="G37" s="134"/>
      <c r="H37" s="134"/>
      <c r="I37" s="134"/>
      <c r="J37" s="138">
        <f ca="1">IFERROR(__xludf.DUMMYFUNCTION("""COMPUTED_VALUE"""),427473)</f>
        <v>427473</v>
      </c>
      <c r="K37" s="138" t="str">
        <f ca="1">IFERROR(__xludf.DUMMYFUNCTION("""COMPUTED_VALUE"""),"Beginner")</f>
        <v>Beginner</v>
      </c>
      <c r="L37" s="139" t="str">
        <f ca="1">IFERROR(__xludf.DUMMYFUNCTION("""COMPUTED_VALUE"""),"Statistics Foundations: 1")</f>
        <v>Statistics Foundations: 1</v>
      </c>
      <c r="M37" s="141"/>
      <c r="N37" s="134"/>
      <c r="O37" s="134"/>
      <c r="P37" s="134"/>
      <c r="Q37" s="138">
        <f ca="1">IFERROR(__xludf.DUMMYFUNCTION("""COMPUTED_VALUE"""),5030976)</f>
        <v>5030976</v>
      </c>
      <c r="R37" s="138" t="str">
        <f ca="1">IFERROR(__xludf.DUMMYFUNCTION("""COMPUTED_VALUE"""),"Beginner + Intermediate")</f>
        <v>Beginner + Intermediate</v>
      </c>
      <c r="S37" s="139" t="str">
        <f ca="1">IFERROR(__xludf.DUMMYFUNCTION("""COMPUTED_VALUE"""),"Graphic Design Foundations: Ideas, Concepts, and Form")</f>
        <v>Graphic Design Foundations: Ideas, Concepts, and Form</v>
      </c>
      <c r="T37" s="141"/>
      <c r="U37" s="134"/>
      <c r="V37" s="134"/>
    </row>
    <row r="38" spans="1:22" ht="33.75" customHeight="1" x14ac:dyDescent="0.15">
      <c r="A38" s="134"/>
      <c r="B38" s="134"/>
      <c r="C38" s="138">
        <f ca="1">IFERROR(__xludf.DUMMYFUNCTION("""COMPUTED_VALUE"""),616661)</f>
        <v>616661</v>
      </c>
      <c r="D38" s="138" t="str">
        <f ca="1">IFERROR(__xludf.DUMMYFUNCTION("""COMPUTED_VALUE"""),"Beginner + Intermediate")</f>
        <v>Beginner + Intermediate</v>
      </c>
      <c r="E38" s="139" t="str">
        <f ca="1">IFERROR(__xludf.DUMMYFUNCTION("""COMPUTED_VALUE"""),"Customer Service: Problem Solving and Troubleshooting")</f>
        <v>Customer Service: Problem Solving and Troubleshooting</v>
      </c>
      <c r="F38" s="141"/>
      <c r="G38" s="134"/>
      <c r="H38" s="134"/>
      <c r="I38" s="134"/>
      <c r="J38" s="138">
        <f ca="1">IFERROR(__xludf.DUMMYFUNCTION("""COMPUTED_VALUE"""),2811017)</f>
        <v>2811017</v>
      </c>
      <c r="K38" s="138" t="str">
        <f ca="1">IFERROR(__xludf.DUMMYFUNCTION("""COMPUTED_VALUE"""),"Beginner")</f>
        <v>Beginner</v>
      </c>
      <c r="L38" s="139" t="str">
        <f ca="1">IFERROR(__xludf.DUMMYFUNCTION("""COMPUTED_VALUE"""),"Studying for the Certified Business Analysis Professional (CBAP)®")</f>
        <v>Studying for the Certified Business Analysis Professional (CBAP)®</v>
      </c>
      <c r="M38" s="141"/>
      <c r="N38" s="134"/>
      <c r="O38" s="134"/>
      <c r="P38" s="134"/>
      <c r="Q38" s="138">
        <f ca="1">IFERROR(__xludf.DUMMYFUNCTION("""COMPUTED_VALUE"""),170069)</f>
        <v>170069</v>
      </c>
      <c r="R38" s="138" t="str">
        <f ca="1">IFERROR(__xludf.DUMMYFUNCTION("""COMPUTED_VALUE"""),"Beginner + Intermediate")</f>
        <v>Beginner + Intermediate</v>
      </c>
      <c r="S38" s="139" t="str">
        <f ca="1">IFERROR(__xludf.DUMMYFUNCTION("""COMPUTED_VALUE"""),"Instructional Design: Needs Analysis")</f>
        <v>Instructional Design: Needs Analysis</v>
      </c>
      <c r="T38" s="141"/>
      <c r="U38" s="134"/>
      <c r="V38" s="134"/>
    </row>
    <row r="39" spans="1:22" ht="33.75" customHeight="1" x14ac:dyDescent="0.15">
      <c r="A39" s="134"/>
      <c r="B39" s="134"/>
      <c r="C39" s="138">
        <f ca="1">IFERROR(__xludf.DUMMYFUNCTION("""COMPUTED_VALUE"""),630599)</f>
        <v>630599</v>
      </c>
      <c r="D39" s="138" t="str">
        <f ca="1">IFERROR(__xludf.DUMMYFUNCTION("""COMPUTED_VALUE"""),"Beginner + Intermediate")</f>
        <v>Beginner + Intermediate</v>
      </c>
      <c r="E39" s="139" t="str">
        <f ca="1">IFERROR(__xludf.DUMMYFUNCTION("""COMPUTED_VALUE"""),"Customer Service: Serving Internal Customers")</f>
        <v>Customer Service: Serving Internal Customers</v>
      </c>
      <c r="F39" s="141"/>
      <c r="G39" s="134"/>
      <c r="H39" s="134"/>
      <c r="I39" s="134"/>
      <c r="J39" s="138">
        <f ca="1">IFERROR(__xludf.DUMMYFUNCTION("""COMPUTED_VALUE"""),2804664)</f>
        <v>2804664</v>
      </c>
      <c r="K39" s="138" t="str">
        <f ca="1">IFERROR(__xludf.DUMMYFUNCTION("""COMPUTED_VALUE"""),"Beginner")</f>
        <v>Beginner</v>
      </c>
      <c r="L39" s="139" t="str">
        <f ca="1">IFERROR(__xludf.DUMMYFUNCTION("""COMPUTED_VALUE"""),"Introducing AI to Your Organization")</f>
        <v>Introducing AI to Your Organization</v>
      </c>
      <c r="M39" s="141"/>
      <c r="N39" s="134"/>
      <c r="O39" s="134"/>
      <c r="P39" s="134"/>
      <c r="Q39" s="138">
        <f ca="1">IFERROR(__xludf.DUMMYFUNCTION("""COMPUTED_VALUE"""),160064)</f>
        <v>160064</v>
      </c>
      <c r="R39" s="138" t="str">
        <f ca="1">IFERROR(__xludf.DUMMYFUNCTION("""COMPUTED_VALUE"""),"Beginner + Intermediate")</f>
        <v>Beginner + Intermediate</v>
      </c>
      <c r="S39" s="139" t="str">
        <f ca="1">IFERROR(__xludf.DUMMYFUNCTION("""COMPUTED_VALUE"""),"Instructional Design: Storyboarding")</f>
        <v>Instructional Design: Storyboarding</v>
      </c>
      <c r="T39" s="141"/>
      <c r="U39" s="134"/>
      <c r="V39" s="134"/>
    </row>
    <row r="40" spans="1:22" ht="33.75" customHeight="1" x14ac:dyDescent="0.15">
      <c r="A40" s="134"/>
      <c r="B40" s="134"/>
      <c r="C40" s="138">
        <f ca="1">IFERROR(__xludf.DUMMYFUNCTION("""COMPUTED_VALUE"""),645012)</f>
        <v>645012</v>
      </c>
      <c r="D40" s="138" t="str">
        <f ca="1">IFERROR(__xludf.DUMMYFUNCTION("""COMPUTED_VALUE"""),"Beginner + Intermediate")</f>
        <v>Beginner + Intermediate</v>
      </c>
      <c r="E40" s="139" t="str">
        <f ca="1">IFERROR(__xludf.DUMMYFUNCTION("""COMPUTED_VALUE"""),"Developing a Service Mindset")</f>
        <v>Developing a Service Mindset</v>
      </c>
      <c r="F40" s="141"/>
      <c r="G40" s="134"/>
      <c r="H40" s="134"/>
      <c r="I40" s="134"/>
      <c r="J40" s="138">
        <f ca="1">IFERROR(__xludf.DUMMYFUNCTION("""COMPUTED_VALUE"""),2823034)</f>
        <v>2823034</v>
      </c>
      <c r="K40" s="138" t="str">
        <f ca="1">IFERROR(__xludf.DUMMYFUNCTION("""COMPUTED_VALUE"""),"Beginner")</f>
        <v>Beginner</v>
      </c>
      <c r="L40" s="139" t="str">
        <f ca="1">IFERROR(__xludf.DUMMYFUNCTION("""COMPUTED_VALUE"""),"SAS® 9.4 Cert Prep: Part 05 Analyzing and Reporting on Data")</f>
        <v>SAS® 9.4 Cert Prep: Part 05 Analyzing and Reporting on Data</v>
      </c>
      <c r="M40" s="141"/>
      <c r="N40" s="134"/>
      <c r="O40" s="134"/>
      <c r="P40" s="134"/>
      <c r="Q40" s="138">
        <f ca="1">IFERROR(__xludf.DUMMYFUNCTION("""COMPUTED_VALUE"""),135367)</f>
        <v>135367</v>
      </c>
      <c r="R40" s="138" t="str">
        <f ca="1">IFERROR(__xludf.DUMMYFUNCTION("""COMPUTED_VALUE"""),"Beginner + Intermediate")</f>
        <v>Beginner + Intermediate</v>
      </c>
      <c r="S40" s="139" t="str">
        <f ca="1">IFERROR(__xludf.DUMMYFUNCTION("""COMPUTED_VALUE"""),"Blackboard Essential Training")</f>
        <v>Blackboard Essential Training</v>
      </c>
      <c r="T40" s="141"/>
      <c r="U40" s="134"/>
      <c r="V40" s="134"/>
    </row>
    <row r="41" spans="1:22" ht="33.75" customHeight="1" x14ac:dyDescent="0.15">
      <c r="A41" s="134"/>
      <c r="B41" s="134"/>
      <c r="C41" s="138">
        <f ca="1">IFERROR(__xludf.DUMMYFUNCTION("""COMPUTED_VALUE"""),2243042)</f>
        <v>2243042</v>
      </c>
      <c r="D41" s="138" t="str">
        <f ca="1">IFERROR(__xludf.DUMMYFUNCTION("""COMPUTED_VALUE"""),"General")</f>
        <v>General</v>
      </c>
      <c r="E41" s="139" t="str">
        <f ca="1">IFERROR(__xludf.DUMMYFUNCTION("""COMPUTED_VALUE"""),"Data Driven: Harnessing Data and AI to Reinvent Customer Engagement (getAbstract Summary)")</f>
        <v>Data Driven: Harnessing Data and AI to Reinvent Customer Engagement (getAbstract Summary)</v>
      </c>
      <c r="F41" s="141"/>
      <c r="G41" s="134"/>
      <c r="H41" s="134"/>
      <c r="I41" s="134"/>
      <c r="J41" s="138">
        <f ca="1">IFERROR(__xludf.DUMMYFUNCTION("""COMPUTED_VALUE"""),2822592)</f>
        <v>2822592</v>
      </c>
      <c r="K41" s="138" t="str">
        <f ca="1">IFERROR(__xludf.DUMMYFUNCTION("""COMPUTED_VALUE"""),"Beginner")</f>
        <v>Beginner</v>
      </c>
      <c r="L41" s="139" t="str">
        <f ca="1">IFERROR(__xludf.DUMMYFUNCTION("""COMPUTED_VALUE"""),"Introduction to Business Analytics")</f>
        <v>Introduction to Business Analytics</v>
      </c>
      <c r="M41" s="141"/>
      <c r="N41" s="134"/>
      <c r="O41" s="134"/>
      <c r="P41" s="134"/>
      <c r="Q41" s="138">
        <f ca="1">IFERROR(__xludf.DUMMYFUNCTION("""COMPUTED_VALUE"""),473889)</f>
        <v>473889</v>
      </c>
      <c r="R41" s="138" t="str">
        <f ca="1">IFERROR(__xludf.DUMMYFUNCTION("""COMPUTED_VALUE"""),"Beginner + Intermediate")</f>
        <v>Beginner + Intermediate</v>
      </c>
      <c r="S41" s="139" t="str">
        <f ca="1">IFERROR(__xludf.DUMMYFUNCTION("""COMPUTED_VALUE"""),"Learning How to Increase Learner Engagement")</f>
        <v>Learning How to Increase Learner Engagement</v>
      </c>
      <c r="T41" s="141"/>
      <c r="U41" s="134"/>
      <c r="V41" s="134"/>
    </row>
    <row r="42" spans="1:22" ht="30" x14ac:dyDescent="0.15">
      <c r="A42" s="134"/>
      <c r="B42" s="134"/>
      <c r="C42" s="138">
        <f ca="1">IFERROR(__xludf.DUMMYFUNCTION("""COMPUTED_VALUE"""),2822652)</f>
        <v>2822652</v>
      </c>
      <c r="D42" s="138" t="str">
        <f ca="1">IFERROR(__xludf.DUMMYFUNCTION("""COMPUTED_VALUE"""),"General")</f>
        <v>General</v>
      </c>
      <c r="E42" s="139" t="str">
        <f ca="1">IFERROR(__xludf.DUMMYFUNCTION("""COMPUTED_VALUE"""),"Just Ask: Dean Karrel on Sales")</f>
        <v>Just Ask: Dean Karrel on Sales</v>
      </c>
      <c r="F42" s="141"/>
      <c r="G42" s="134"/>
      <c r="H42" s="134"/>
      <c r="I42" s="134"/>
      <c r="J42" s="138">
        <f ca="1">IFERROR(__xludf.DUMMYFUNCTION("""COMPUTED_VALUE"""),2280170)</f>
        <v>2280170</v>
      </c>
      <c r="K42" s="138" t="str">
        <f ca="1">IFERROR(__xludf.DUMMYFUNCTION("""COMPUTED_VALUE"""),"Beginner")</f>
        <v>Beginner</v>
      </c>
      <c r="L42" s="139" t="str">
        <f ca="1">IFERROR(__xludf.DUMMYFUNCTION("""COMPUTED_VALUE"""),"Data Ethics: Making Data-Driven Decisions")</f>
        <v>Data Ethics: Making Data-Driven Decisions</v>
      </c>
      <c r="M42" s="141"/>
      <c r="N42" s="134"/>
      <c r="O42" s="134"/>
      <c r="P42" s="134"/>
      <c r="Q42" s="138">
        <f ca="1">IFERROR(__xludf.DUMMYFUNCTION("""COMPUTED_VALUE"""),2840016)</f>
        <v>2840016</v>
      </c>
      <c r="R42" s="138" t="str">
        <f ca="1">IFERROR(__xludf.DUMMYFUNCTION("""COMPUTED_VALUE"""),"Beginner + Intermediate")</f>
        <v>Beginner + Intermediate</v>
      </c>
      <c r="S42" s="139" t="str">
        <f ca="1">IFERROR(__xludf.DUMMYFUNCTION("""COMPUTED_VALUE"""),"Design Thinking: Implementing the Process")</f>
        <v>Design Thinking: Implementing the Process</v>
      </c>
      <c r="T42" s="141"/>
      <c r="U42" s="134"/>
      <c r="V42" s="134"/>
    </row>
    <row r="43" spans="1:22" ht="30" x14ac:dyDescent="0.15">
      <c r="A43" s="134"/>
      <c r="B43" s="134"/>
      <c r="C43" s="138">
        <f ca="1">IFERROR(__xludf.DUMMYFUNCTION("""COMPUTED_VALUE"""),2804060)</f>
        <v>2804060</v>
      </c>
      <c r="D43" s="138" t="str">
        <f ca="1">IFERROR(__xludf.DUMMYFUNCTION("""COMPUTED_VALUE"""),"Intermediate")</f>
        <v>Intermediate</v>
      </c>
      <c r="E43" s="139" t="str">
        <f ca="1">IFERROR(__xludf.DUMMYFUNCTION("""COMPUTED_VALUE"""),"Building Customer Loyalty")</f>
        <v>Building Customer Loyalty</v>
      </c>
      <c r="F43" s="141"/>
      <c r="G43" s="134"/>
      <c r="H43" s="134"/>
      <c r="I43" s="134"/>
      <c r="J43" s="138">
        <f ca="1">IFERROR(__xludf.DUMMYFUNCTION("""COMPUTED_VALUE"""),2823582)</f>
        <v>2823582</v>
      </c>
      <c r="K43" s="138" t="str">
        <f ca="1">IFERROR(__xludf.DUMMYFUNCTION("""COMPUTED_VALUE"""),"Beginner")</f>
        <v>Beginner</v>
      </c>
      <c r="L43" s="139" t="str">
        <f ca="1">IFERROR(__xludf.DUMMYFUNCTION("""COMPUTED_VALUE"""),"Tableau Essential Training (2020.1)")</f>
        <v>Tableau Essential Training (2020.1)</v>
      </c>
      <c r="M43" s="141"/>
      <c r="N43" s="134"/>
      <c r="O43" s="134"/>
      <c r="P43" s="134"/>
      <c r="Q43" s="138">
        <f ca="1">IFERROR(__xludf.DUMMYFUNCTION("""COMPUTED_VALUE"""),2242040)</f>
        <v>2242040</v>
      </c>
      <c r="R43" s="138" t="str">
        <f ca="1">IFERROR(__xludf.DUMMYFUNCTION("""COMPUTED_VALUE"""),"General")</f>
        <v>General</v>
      </c>
      <c r="S43" s="139" t="str">
        <f ca="1">IFERROR(__xludf.DUMMYFUNCTION("""COMPUTED_VALUE"""),"Design Thinking at Work (getAbstract Summary)")</f>
        <v>Design Thinking at Work (getAbstract Summary)</v>
      </c>
      <c r="T43" s="141"/>
      <c r="U43" s="134"/>
      <c r="V43" s="134"/>
    </row>
    <row r="44" spans="1:22" ht="45" x14ac:dyDescent="0.15">
      <c r="A44" s="134"/>
      <c r="B44" s="134"/>
      <c r="C44" s="138">
        <f ca="1">IFERROR(__xludf.DUMMYFUNCTION("""COMPUTED_VALUE"""),622062)</f>
        <v>622062</v>
      </c>
      <c r="D44" s="138" t="str">
        <f ca="1">IFERROR(__xludf.DUMMYFUNCTION("""COMPUTED_VALUE"""),"Intermediate")</f>
        <v>Intermediate</v>
      </c>
      <c r="E44" s="139" t="str">
        <f ca="1">IFERROR(__xludf.DUMMYFUNCTION("""COMPUTED_VALUE"""),"Creating a Positive Customer Experience")</f>
        <v>Creating a Positive Customer Experience</v>
      </c>
      <c r="F44" s="141"/>
      <c r="G44" s="134"/>
      <c r="H44" s="134"/>
      <c r="I44" s="134"/>
      <c r="J44" s="138">
        <f ca="1">IFERROR(__xludf.DUMMYFUNCTION("""COMPUTED_VALUE"""),2825620)</f>
        <v>2825620</v>
      </c>
      <c r="K44" s="138" t="str">
        <f ca="1">IFERROR(__xludf.DUMMYFUNCTION("""COMPUTED_VALUE"""),"Beginner")</f>
        <v>Beginner</v>
      </c>
      <c r="L44" s="139" t="str">
        <f ca="1">IFERROR(__xludf.DUMMYFUNCTION("""COMPUTED_VALUE"""),"Business Analytics: Marketing Data")</f>
        <v>Business Analytics: Marketing Data</v>
      </c>
      <c r="M44" s="141"/>
      <c r="N44" s="134"/>
      <c r="O44" s="134"/>
      <c r="P44" s="134"/>
      <c r="Q44" s="138">
        <f ca="1">IFERROR(__xludf.DUMMYFUNCTION("""COMPUTED_VALUE"""),2243044)</f>
        <v>2243044</v>
      </c>
      <c r="R44" s="138" t="str">
        <f ca="1">IFERROR(__xludf.DUMMYFUNCTION("""COMPUTED_VALUE"""),"General")</f>
        <v>General</v>
      </c>
      <c r="S44" s="139" t="str">
        <f ca="1">IFERROR(__xludf.DUMMYFUNCTION("""COMPUTED_VALUE"""),"StoryTraining: Selecting and Shaping Stories That Connect (getAbstract Summary)")</f>
        <v>StoryTraining: Selecting and Shaping Stories That Connect (getAbstract Summary)</v>
      </c>
      <c r="T44" s="141"/>
      <c r="U44" s="134"/>
      <c r="V44" s="134"/>
    </row>
    <row r="45" spans="1:22" ht="33.75" customHeight="1" x14ac:dyDescent="0.15">
      <c r="A45" s="134"/>
      <c r="B45" s="134"/>
      <c r="C45" s="138">
        <f ca="1">IFERROR(__xludf.DUMMYFUNCTION("""COMPUTED_VALUE"""),784279)</f>
        <v>784279</v>
      </c>
      <c r="D45" s="138" t="str">
        <f ca="1">IFERROR(__xludf.DUMMYFUNCTION("""COMPUTED_VALUE"""),"Intermediate")</f>
        <v>Intermediate</v>
      </c>
      <c r="E45" s="139" t="str">
        <f ca="1">IFERROR(__xludf.DUMMYFUNCTION("""COMPUTED_VALUE"""),"Creating Positive Conversations with Challenging Customers")</f>
        <v>Creating Positive Conversations with Challenging Customers</v>
      </c>
      <c r="F45" s="141"/>
      <c r="G45" s="134"/>
      <c r="H45" s="134"/>
      <c r="I45" s="134"/>
      <c r="J45" s="138">
        <f ca="1">IFERROR(__xludf.DUMMYFUNCTION("""COMPUTED_VALUE"""),2823513)</f>
        <v>2823513</v>
      </c>
      <c r="K45" s="138" t="str">
        <f ca="1">IFERROR(__xludf.DUMMYFUNCTION("""COMPUTED_VALUE"""),"Beginner")</f>
        <v>Beginner</v>
      </c>
      <c r="L45" s="139" t="str">
        <f ca="1">IFERROR(__xludf.DUMMYFUNCTION("""COMPUTED_VALUE"""),"Business Analytics: Sales Data")</f>
        <v>Business Analytics: Sales Data</v>
      </c>
      <c r="M45" s="141"/>
      <c r="N45" s="134"/>
      <c r="O45" s="134"/>
      <c r="P45" s="134"/>
      <c r="Q45" s="138">
        <f ca="1">IFERROR(__xludf.DUMMYFUNCTION("""COMPUTED_VALUE"""),2825437)</f>
        <v>2825437</v>
      </c>
      <c r="R45" s="138" t="str">
        <f ca="1">IFERROR(__xludf.DUMMYFUNCTION("""COMPUTED_VALUE"""),"General")</f>
        <v>General</v>
      </c>
      <c r="S45" s="139" t="str">
        <f ca="1">IFERROR(__xludf.DUMMYFUNCTION("""COMPUTED_VALUE"""),"Color Trends")</f>
        <v>Color Trends</v>
      </c>
      <c r="T45" s="141"/>
      <c r="U45" s="134"/>
      <c r="V45" s="134"/>
    </row>
    <row r="46" spans="1:22" ht="33.75" customHeight="1" x14ac:dyDescent="0.15">
      <c r="A46" s="134"/>
      <c r="B46" s="134"/>
      <c r="C46" s="138">
        <f ca="1">IFERROR(__xludf.DUMMYFUNCTION("""COMPUTED_VALUE"""),574680)</f>
        <v>574680</v>
      </c>
      <c r="D46" s="138" t="str">
        <f ca="1">IFERROR(__xludf.DUMMYFUNCTION("""COMPUTED_VALUE"""),"Intermediate")</f>
        <v>Intermediate</v>
      </c>
      <c r="E46" s="139" t="str">
        <f ca="1">IFERROR(__xludf.DUMMYFUNCTION("""COMPUTED_VALUE"""),"Customer Advocacy")</f>
        <v>Customer Advocacy</v>
      </c>
      <c r="F46" s="141"/>
      <c r="G46" s="134"/>
      <c r="H46" s="134"/>
      <c r="I46" s="134"/>
      <c r="J46" s="138">
        <f ca="1">IFERROR(__xludf.DUMMYFUNCTION("""COMPUTED_VALUE"""),2810169)</f>
        <v>2810169</v>
      </c>
      <c r="K46" s="138" t="str">
        <f ca="1">IFERROR(__xludf.DUMMYFUNCTION("""COMPUTED_VALUE"""),"Beginner + Intermediate")</f>
        <v>Beginner + Intermediate</v>
      </c>
      <c r="L46" s="139" t="str">
        <f ca="1">IFERROR(__xludf.DUMMYFUNCTION("""COMPUTED_VALUE"""),"The Data Game of Fantasy Football")</f>
        <v>The Data Game of Fantasy Football</v>
      </c>
      <c r="M46" s="141"/>
      <c r="N46" s="134"/>
      <c r="O46" s="134"/>
      <c r="P46" s="134"/>
      <c r="Q46" s="138">
        <f ca="1">IFERROR(__xludf.DUMMYFUNCTION("""COMPUTED_VALUE"""),2818050)</f>
        <v>2818050</v>
      </c>
      <c r="R46" s="138" t="str">
        <f ca="1">IFERROR(__xludf.DUMMYFUNCTION("""COMPUTED_VALUE"""),"General")</f>
        <v>General</v>
      </c>
      <c r="S46" s="139" t="str">
        <f ca="1">IFERROR(__xludf.DUMMYFUNCTION("""COMPUTED_VALUE"""),"Technology and Design Ethics")</f>
        <v>Technology and Design Ethics</v>
      </c>
      <c r="T46" s="141"/>
      <c r="U46" s="134"/>
      <c r="V46" s="134"/>
    </row>
    <row r="47" spans="1:22" ht="33.75" customHeight="1" x14ac:dyDescent="0.15">
      <c r="A47" s="134"/>
      <c r="B47" s="134"/>
      <c r="C47" s="138">
        <f ca="1">IFERROR(__xludf.DUMMYFUNCTION("""COMPUTED_VALUE"""),748569)</f>
        <v>748569</v>
      </c>
      <c r="D47" s="138" t="str">
        <f ca="1">IFERROR(__xludf.DUMMYFUNCTION("""COMPUTED_VALUE"""),"Intermediate")</f>
        <v>Intermediate</v>
      </c>
      <c r="E47" s="139" t="str">
        <f ca="1">IFERROR(__xludf.DUMMYFUNCTION("""COMPUTED_VALUE"""),"Customer Experience: Journey Mapping")</f>
        <v>Customer Experience: Journey Mapping</v>
      </c>
      <c r="F47" s="141"/>
      <c r="G47" s="134"/>
      <c r="H47" s="134"/>
      <c r="I47" s="134"/>
      <c r="J47" s="138">
        <f ca="1">IFERROR(__xludf.DUMMYFUNCTION("""COMPUTED_VALUE"""),5034173)</f>
        <v>5034173</v>
      </c>
      <c r="K47" s="138" t="str">
        <f ca="1">IFERROR(__xludf.DUMMYFUNCTION("""COMPUTED_VALUE"""),"Beginner + Intermediate")</f>
        <v>Beginner + Intermediate</v>
      </c>
      <c r="L47" s="139" t="str">
        <f ca="1">IFERROR(__xludf.DUMMYFUNCTION("""COMPUTED_VALUE"""),"Learning Public Data Sets")</f>
        <v>Learning Public Data Sets</v>
      </c>
      <c r="M47" s="141"/>
      <c r="N47" s="134"/>
      <c r="O47" s="134"/>
      <c r="P47" s="134"/>
      <c r="Q47" s="138">
        <f ca="1">IFERROR(__xludf.DUMMYFUNCTION("""COMPUTED_VALUE"""),2800332)</f>
        <v>2800332</v>
      </c>
      <c r="R47" s="138" t="str">
        <f ca="1">IFERROR(__xludf.DUMMYFUNCTION("""COMPUTED_VALUE"""),"General")</f>
        <v>General</v>
      </c>
      <c r="S47" s="139" t="str">
        <f ca="1">IFERROR(__xludf.DUMMYFUNCTION("""COMPUTED_VALUE"""),"Running a Design Business: Writing and Pricing Winning Proposals")</f>
        <v>Running a Design Business: Writing and Pricing Winning Proposals</v>
      </c>
      <c r="T47" s="141"/>
      <c r="U47" s="134"/>
      <c r="V47" s="134"/>
    </row>
    <row r="48" spans="1:22" ht="33.75" customHeight="1" x14ac:dyDescent="0.15">
      <c r="A48" s="134"/>
      <c r="B48" s="134"/>
      <c r="C48" s="138">
        <f ca="1">IFERROR(__xludf.DUMMYFUNCTION("""COMPUTED_VALUE"""),791341)</f>
        <v>791341</v>
      </c>
      <c r="D48" s="138" t="str">
        <f ca="1">IFERROR(__xludf.DUMMYFUNCTION("""COMPUTED_VALUE"""),"Intermediate")</f>
        <v>Intermediate</v>
      </c>
      <c r="E48" s="139" t="str">
        <f ca="1">IFERROR(__xludf.DUMMYFUNCTION("""COMPUTED_VALUE"""),"Customer Experience: Service Blueprinting")</f>
        <v>Customer Experience: Service Blueprinting</v>
      </c>
      <c r="F48" s="141"/>
      <c r="G48" s="134"/>
      <c r="H48" s="134"/>
      <c r="I48" s="134"/>
      <c r="J48" s="138">
        <f ca="1">IFERROR(__xludf.DUMMYFUNCTION("""COMPUTED_VALUE"""),2822057)</f>
        <v>2822057</v>
      </c>
      <c r="K48" s="138" t="str">
        <f ca="1">IFERROR(__xludf.DUMMYFUNCTION("""COMPUTED_VALUE"""),"Beginner + Intermediate")</f>
        <v>Beginner + Intermediate</v>
      </c>
      <c r="L48" s="139" t="str">
        <f ca="1">IFERROR(__xludf.DUMMYFUNCTION("""COMPUTED_VALUE"""),"SPSS Statistics Essential Training")</f>
        <v>SPSS Statistics Essential Training</v>
      </c>
      <c r="M48" s="152"/>
      <c r="N48" s="134"/>
      <c r="O48" s="134"/>
      <c r="P48" s="134"/>
      <c r="Q48" s="138">
        <f ca="1">IFERROR(__xludf.DUMMYFUNCTION("""COMPUTED_VALUE"""),2841399)</f>
        <v>2841399</v>
      </c>
      <c r="R48" s="138" t="str">
        <f ca="1">IFERROR(__xludf.DUMMYFUNCTION("""COMPUTED_VALUE"""),"General")</f>
        <v>General</v>
      </c>
      <c r="S48" s="139" t="str">
        <f ca="1">IFERROR(__xludf.DUMMYFUNCTION("""COMPUTED_VALUE"""),"Design Thinking: Understanding the Process")</f>
        <v>Design Thinking: Understanding the Process</v>
      </c>
      <c r="T48" s="152"/>
      <c r="U48" s="134"/>
      <c r="V48" s="134"/>
    </row>
    <row r="49" spans="1:22" ht="33.75" customHeight="1" x14ac:dyDescent="0.15">
      <c r="A49" s="134"/>
      <c r="B49" s="134"/>
      <c r="C49" s="138">
        <f ca="1">IFERROR(__xludf.DUMMYFUNCTION("""COMPUTED_VALUE"""),802825)</f>
        <v>802825</v>
      </c>
      <c r="D49" s="138" t="str">
        <f ca="1">IFERROR(__xludf.DUMMYFUNCTION("""COMPUTED_VALUE"""),"Intermediate")</f>
        <v>Intermediate</v>
      </c>
      <c r="E49" s="139" t="str">
        <f ca="1">IFERROR(__xludf.DUMMYFUNCTION("""COMPUTED_VALUE"""),"Customer Service: Motivating Your Team")</f>
        <v>Customer Service: Motivating Your Team</v>
      </c>
      <c r="F49" s="141"/>
      <c r="G49" s="134"/>
      <c r="H49" s="134"/>
      <c r="I49" s="134"/>
      <c r="J49" s="138">
        <f ca="1">IFERROR(__xludf.DUMMYFUNCTION("""COMPUTED_VALUE"""),2825498)</f>
        <v>2825498</v>
      </c>
      <c r="K49" s="138" t="str">
        <f ca="1">IFERROR(__xludf.DUMMYFUNCTION("""COMPUTED_VALUE"""),"Beginner + Intermediate")</f>
        <v>Beginner + Intermediate</v>
      </c>
      <c r="L49" s="139" t="str">
        <f ca="1">IFERROR(__xludf.DUMMYFUNCTION("""COMPUTED_VALUE"""),"R Essential Training: Wrangling and Visualizing Data")</f>
        <v>R Essential Training: Wrangling and Visualizing Data</v>
      </c>
      <c r="M49" s="152"/>
      <c r="N49" s="134"/>
      <c r="O49" s="134"/>
      <c r="P49" s="134"/>
      <c r="Q49" s="138">
        <f ca="1">IFERROR(__xludf.DUMMYFUNCTION("""COMPUTED_VALUE"""),667377)</f>
        <v>667377</v>
      </c>
      <c r="R49" s="138" t="str">
        <f ca="1">IFERROR(__xludf.DUMMYFUNCTION("""COMPUTED_VALUE"""),"Intermediate")</f>
        <v>Intermediate</v>
      </c>
      <c r="S49" s="139" t="str">
        <f ca="1">IFERROR(__xludf.DUMMYFUNCTION("""COMPUTED_VALUE"""),"Articulate 360: Interactive Learning")</f>
        <v>Articulate 360: Interactive Learning</v>
      </c>
      <c r="T49" s="152"/>
      <c r="U49" s="134"/>
      <c r="V49" s="134"/>
    </row>
    <row r="50" spans="1:22" ht="33.75" customHeight="1" x14ac:dyDescent="0.15">
      <c r="A50" s="134"/>
      <c r="B50" s="134"/>
      <c r="C50" s="138">
        <f ca="1">IFERROR(__xludf.DUMMYFUNCTION("""COMPUTED_VALUE"""),667357)</f>
        <v>667357</v>
      </c>
      <c r="D50" s="138" t="str">
        <f ca="1">IFERROR(__xludf.DUMMYFUNCTION("""COMPUTED_VALUE"""),"Intermediate")</f>
        <v>Intermediate</v>
      </c>
      <c r="E50" s="139" t="str">
        <f ca="1">IFERROR(__xludf.DUMMYFUNCTION("""COMPUTED_VALUE"""),"Customer Service: Preventing Turnover")</f>
        <v>Customer Service: Preventing Turnover</v>
      </c>
      <c r="F50" s="141"/>
      <c r="G50" s="134"/>
      <c r="H50" s="134"/>
      <c r="I50" s="134"/>
      <c r="J50" s="138">
        <f ca="1">IFERROR(__xludf.DUMMYFUNCTION("""COMPUTED_VALUE"""),2817066)</f>
        <v>2817066</v>
      </c>
      <c r="K50" s="138" t="str">
        <f ca="1">IFERROR(__xludf.DUMMYFUNCTION("""COMPUTED_VALUE"""),"Beginner + Intermediate")</f>
        <v>Beginner + Intermediate</v>
      </c>
      <c r="L50" s="139" t="str">
        <f ca="1">IFERROR(__xludf.DUMMYFUNCTION("""COMPUTED_VALUE"""),"Cloud Hadoop: Scaling Apache Spark")</f>
        <v>Cloud Hadoop: Scaling Apache Spark</v>
      </c>
      <c r="M50" s="152"/>
      <c r="N50" s="134"/>
      <c r="O50" s="134"/>
      <c r="P50" s="134"/>
      <c r="Q50" s="138">
        <f ca="1">IFERROR(__xludf.DUMMYFUNCTION("""COMPUTED_VALUE"""),560231)</f>
        <v>560231</v>
      </c>
      <c r="R50" s="138" t="str">
        <f ca="1">IFERROR(__xludf.DUMMYFUNCTION("""COMPUTED_VALUE"""),"Intermediate")</f>
        <v>Intermediate</v>
      </c>
      <c r="S50" s="139" t="str">
        <f ca="1">IFERROR(__xludf.DUMMYFUNCTION("""COMPUTED_VALUE"""),"Brain-Based Elearning Design")</f>
        <v>Brain-Based Elearning Design</v>
      </c>
      <c r="T50" s="152"/>
      <c r="U50" s="134"/>
      <c r="V50" s="134"/>
    </row>
    <row r="51" spans="1:22" ht="33.75" customHeight="1" x14ac:dyDescent="0.15">
      <c r="A51" s="134"/>
      <c r="B51" s="134"/>
      <c r="C51" s="138">
        <f ca="1">IFERROR(__xludf.DUMMYFUNCTION("""COMPUTED_VALUE"""),191342)</f>
        <v>191342</v>
      </c>
      <c r="D51" s="138" t="str">
        <f ca="1">IFERROR(__xludf.DUMMYFUNCTION("""COMPUTED_VALUE"""),"Intermediate")</f>
        <v>Intermediate</v>
      </c>
      <c r="E51" s="139" t="str">
        <f ca="1">IFERROR(__xludf.DUMMYFUNCTION("""COMPUTED_VALUE"""),"Innovative Customer Service Techniques")</f>
        <v>Innovative Customer Service Techniques</v>
      </c>
      <c r="F51" s="141"/>
      <c r="G51" s="134"/>
      <c r="H51" s="134"/>
      <c r="I51" s="134"/>
      <c r="J51" s="138">
        <f ca="1">IFERROR(__xludf.DUMMYFUNCTION("""COMPUTED_VALUE"""),2822406)</f>
        <v>2822406</v>
      </c>
      <c r="K51" s="138" t="str">
        <f ca="1">IFERROR(__xludf.DUMMYFUNCTION("""COMPUTED_VALUE"""),"Beginner + Intermediate")</f>
        <v>Beginner + Intermediate</v>
      </c>
      <c r="L51" s="139" t="str">
        <f ca="1">IFERROR(__xludf.DUMMYFUNCTION("""COMPUTED_VALUE"""),"The Non-Technical Skills of Effective Data Scientists")</f>
        <v>The Non-Technical Skills of Effective Data Scientists</v>
      </c>
      <c r="M51" s="152"/>
      <c r="N51" s="134"/>
      <c r="O51" s="134"/>
      <c r="P51" s="134"/>
      <c r="Q51" s="138">
        <f ca="1">IFERROR(__xludf.DUMMYFUNCTION("""COMPUTED_VALUE"""),647671)</f>
        <v>647671</v>
      </c>
      <c r="R51" s="138" t="str">
        <f ca="1">IFERROR(__xludf.DUMMYFUNCTION("""COMPUTED_VALUE"""),"Intermediate")</f>
        <v>Intermediate</v>
      </c>
      <c r="S51" s="139" t="str">
        <f ca="1">IFERROR(__xludf.DUMMYFUNCTION("""COMPUTED_VALUE"""),"Gaining Internal Buy-In for Elearning Training")</f>
        <v>Gaining Internal Buy-In for Elearning Training</v>
      </c>
      <c r="T51" s="152"/>
      <c r="U51" s="134"/>
      <c r="V51" s="134"/>
    </row>
    <row r="52" spans="1:22" ht="33.75" customHeight="1" x14ac:dyDescent="0.15">
      <c r="A52" s="134"/>
      <c r="B52" s="134"/>
      <c r="C52" s="138">
        <f ca="1">IFERROR(__xludf.DUMMYFUNCTION("""COMPUTED_VALUE"""),693077)</f>
        <v>693077</v>
      </c>
      <c r="D52" s="138" t="str">
        <f ca="1">IFERROR(__xludf.DUMMYFUNCTION("""COMPUTED_VALUE"""),"Intermediate")</f>
        <v>Intermediate</v>
      </c>
      <c r="E52" s="139" t="str">
        <f ca="1">IFERROR(__xludf.DUMMYFUNCTION("""COMPUTED_VALUE"""),"Leading a Customer-Centric Culture")</f>
        <v>Leading a Customer-Centric Culture</v>
      </c>
      <c r="F52" s="141"/>
      <c r="G52" s="134"/>
      <c r="H52" s="134"/>
      <c r="I52" s="134"/>
      <c r="J52" s="138">
        <f ca="1">IFERROR(__xludf.DUMMYFUNCTION("""COMPUTED_VALUE"""),534411)</f>
        <v>534411</v>
      </c>
      <c r="K52" s="138" t="str">
        <f ca="1">IFERROR(__xludf.DUMMYFUNCTION("""COMPUTED_VALUE"""),"Beginner + Intermediate")</f>
        <v>Beginner + Intermediate</v>
      </c>
      <c r="L52" s="139" t="str">
        <f ca="1">IFERROR(__xludf.DUMMYFUNCTION("""COMPUTED_VALUE"""),"Data Science Foundations: Data Engineering")</f>
        <v>Data Science Foundations: Data Engineering</v>
      </c>
      <c r="M52" s="152"/>
      <c r="N52" s="134"/>
      <c r="O52" s="134"/>
      <c r="P52" s="134"/>
      <c r="Q52" s="138">
        <f ca="1">IFERROR(__xludf.DUMMYFUNCTION("""COMPUTED_VALUE"""),424004)</f>
        <v>424004</v>
      </c>
      <c r="R52" s="138" t="str">
        <f ca="1">IFERROR(__xludf.DUMMYFUNCTION("""COMPUTED_VALUE"""),"Intermediate")</f>
        <v>Intermediate</v>
      </c>
      <c r="S52" s="139" t="str">
        <f ca="1">IFERROR(__xludf.DUMMYFUNCTION("""COMPUTED_VALUE"""),"Teaching Techniques: Blended Learning")</f>
        <v>Teaching Techniques: Blended Learning</v>
      </c>
      <c r="T52" s="152"/>
      <c r="U52" s="134"/>
      <c r="V52" s="134"/>
    </row>
    <row r="53" spans="1:22" ht="33.75" customHeight="1" x14ac:dyDescent="0.15">
      <c r="A53" s="134"/>
      <c r="B53" s="134"/>
      <c r="C53" s="138">
        <f ca="1">IFERROR(__xludf.DUMMYFUNCTION("""COMPUTED_VALUE"""),167069)</f>
        <v>167069</v>
      </c>
      <c r="D53" s="138" t="str">
        <f ca="1">IFERROR(__xludf.DUMMYFUNCTION("""COMPUTED_VALUE"""),"Intermediate")</f>
        <v>Intermediate</v>
      </c>
      <c r="E53" s="139" t="str">
        <f ca="1">IFERROR(__xludf.DUMMYFUNCTION("""COMPUTED_VALUE"""),"Managing a Customer Service Team")</f>
        <v>Managing a Customer Service Team</v>
      </c>
      <c r="F53" s="141"/>
      <c r="G53" s="134"/>
      <c r="H53" s="134"/>
      <c r="I53" s="134"/>
      <c r="J53" s="138">
        <f ca="1">IFERROR(__xludf.DUMMYFUNCTION("""COMPUTED_VALUE"""),475936)</f>
        <v>475936</v>
      </c>
      <c r="K53" s="138" t="str">
        <f ca="1">IFERROR(__xludf.DUMMYFUNCTION("""COMPUTED_VALUE"""),"Beginner + Intermediate")</f>
        <v>Beginner + Intermediate</v>
      </c>
      <c r="L53" s="139" t="str">
        <f ca="1">IFERROR(__xludf.DUMMYFUNCTION("""COMPUTED_VALUE"""),"Data Science Foundations: Data Mining")</f>
        <v>Data Science Foundations: Data Mining</v>
      </c>
      <c r="M53" s="152"/>
      <c r="N53" s="134"/>
      <c r="O53" s="134"/>
      <c r="P53" s="134"/>
      <c r="Q53" s="138">
        <f ca="1">IFERROR(__xludf.DUMMYFUNCTION("""COMPUTED_VALUE"""),479804)</f>
        <v>479804</v>
      </c>
      <c r="R53" s="138" t="str">
        <f ca="1">IFERROR(__xludf.DUMMYFUNCTION("""COMPUTED_VALUE"""),"Intermediate")</f>
        <v>Intermediate</v>
      </c>
      <c r="S53" s="139" t="str">
        <f ca="1">IFERROR(__xludf.DUMMYFUNCTION("""COMPUTED_VALUE"""),"Teaching Technical Skills Through Video")</f>
        <v>Teaching Technical Skills Through Video</v>
      </c>
      <c r="T53" s="152"/>
      <c r="U53" s="134"/>
      <c r="V53" s="134"/>
    </row>
    <row r="54" spans="1:22" ht="33.75" customHeight="1" x14ac:dyDescent="0.15">
      <c r="A54" s="134"/>
      <c r="B54" s="134"/>
      <c r="C54" s="138">
        <f ca="1">IFERROR(__xludf.DUMMYFUNCTION("""COMPUTED_VALUE"""),456352)</f>
        <v>456352</v>
      </c>
      <c r="D54" s="138" t="str">
        <f ca="1">IFERROR(__xludf.DUMMYFUNCTION("""COMPUTED_VALUE"""),"Intermediate")</f>
        <v>Intermediate</v>
      </c>
      <c r="E54" s="139" t="str">
        <f ca="1">IFERROR(__xludf.DUMMYFUNCTION("""COMPUTED_VALUE"""),"Managing Customer Expectations for Managers")</f>
        <v>Managing Customer Expectations for Managers</v>
      </c>
      <c r="F54" s="141"/>
      <c r="G54" s="134"/>
      <c r="H54" s="134"/>
      <c r="I54" s="134"/>
      <c r="J54" s="138">
        <f ca="1">IFERROR(__xludf.DUMMYFUNCTION("""COMPUTED_VALUE"""),5028661)</f>
        <v>5028661</v>
      </c>
      <c r="K54" s="138" t="str">
        <f ca="1">IFERROR(__xludf.DUMMYFUNCTION("""COMPUTED_VALUE"""),"Beginner + Intermediate")</f>
        <v>Beginner + Intermediate</v>
      </c>
      <c r="L54" s="139" t="str">
        <f ca="1">IFERROR(__xludf.DUMMYFUNCTION("""COMPUTED_VALUE"""),"Excel Statistics Essential Training: 2")</f>
        <v>Excel Statistics Essential Training: 2</v>
      </c>
      <c r="M54" s="152"/>
      <c r="N54" s="134"/>
      <c r="O54" s="134"/>
      <c r="P54" s="134"/>
      <c r="Q54" s="138">
        <f ca="1">IFERROR(__xludf.DUMMYFUNCTION("""COMPUTED_VALUE"""),173755)</f>
        <v>173755</v>
      </c>
      <c r="R54" s="138" t="str">
        <f ca="1">IFERROR(__xludf.DUMMYFUNCTION("""COMPUTED_VALUE"""),"Intermediate")</f>
        <v>Intermediate</v>
      </c>
      <c r="S54" s="139" t="str">
        <f ca="1">IFERROR(__xludf.DUMMYFUNCTION("""COMPUTED_VALUE"""),"Teaching Techniques: Data-Driven Instruction")</f>
        <v>Teaching Techniques: Data-Driven Instruction</v>
      </c>
      <c r="T54" s="152"/>
      <c r="U54" s="134"/>
      <c r="V54" s="134"/>
    </row>
    <row r="55" spans="1:22" ht="33.75" customHeight="1" x14ac:dyDescent="0.15">
      <c r="A55" s="134"/>
      <c r="B55" s="134"/>
      <c r="C55" s="138">
        <f ca="1">IFERROR(__xludf.DUMMYFUNCTION("""COMPUTED_VALUE"""),492724)</f>
        <v>492724</v>
      </c>
      <c r="D55" s="138" t="str">
        <f ca="1">IFERROR(__xludf.DUMMYFUNCTION("""COMPUTED_VALUE"""),"Intermediate")</f>
        <v>Intermediate</v>
      </c>
      <c r="E55" s="139" t="str">
        <f ca="1">IFERROR(__xludf.DUMMYFUNCTION("""COMPUTED_VALUE"""),"Service Innovation")</f>
        <v>Service Innovation</v>
      </c>
      <c r="F55" s="141"/>
      <c r="G55" s="134"/>
      <c r="H55" s="134"/>
      <c r="I55" s="134"/>
      <c r="J55" s="138">
        <f ca="1">IFERROR(__xludf.DUMMYFUNCTION("""COMPUTED_VALUE"""),495322)</f>
        <v>495322</v>
      </c>
      <c r="K55" s="138" t="str">
        <f ca="1">IFERROR(__xludf.DUMMYFUNCTION("""COMPUTED_VALUE"""),"Beginner + Intermediate")</f>
        <v>Beginner + Intermediate</v>
      </c>
      <c r="L55" s="139" t="str">
        <f ca="1">IFERROR(__xludf.DUMMYFUNCTION("""COMPUTED_VALUE"""),"Statistics Foundations: 2")</f>
        <v>Statistics Foundations: 2</v>
      </c>
      <c r="M55" s="152"/>
      <c r="N55" s="134"/>
      <c r="O55" s="134"/>
      <c r="P55" s="134"/>
      <c r="Q55" s="138">
        <f ca="1">IFERROR(__xludf.DUMMYFUNCTION("""COMPUTED_VALUE"""),141465)</f>
        <v>141465</v>
      </c>
      <c r="R55" s="138" t="str">
        <f ca="1">IFERROR(__xludf.DUMMYFUNCTION("""COMPUTED_VALUE"""),"Intermediate")</f>
        <v>Intermediate</v>
      </c>
      <c r="S55" s="139" t="str">
        <f ca="1">IFERROR(__xludf.DUMMYFUNCTION("""COMPUTED_VALUE"""),"Teacher Tips")</f>
        <v>Teacher Tips</v>
      </c>
      <c r="T55" s="152"/>
      <c r="U55" s="134"/>
      <c r="V55" s="134"/>
    </row>
    <row r="56" spans="1:22" ht="33.75" customHeight="1" x14ac:dyDescent="0.15">
      <c r="A56" s="134"/>
      <c r="B56" s="134"/>
      <c r="C56" s="138">
        <f ca="1">IFERROR(__xludf.DUMMYFUNCTION("""COMPUTED_VALUE"""),601774)</f>
        <v>601774</v>
      </c>
      <c r="D56" s="138" t="str">
        <f ca="1">IFERROR(__xludf.DUMMYFUNCTION("""COMPUTED_VALUE"""),"Intermediate")</f>
        <v>Intermediate</v>
      </c>
      <c r="E56" s="139" t="str">
        <f ca="1">IFERROR(__xludf.DUMMYFUNCTION("""COMPUTED_VALUE"""),"Service Metrics for Customer Service")</f>
        <v>Service Metrics for Customer Service</v>
      </c>
      <c r="F56" s="141"/>
      <c r="G56" s="134"/>
      <c r="H56" s="134"/>
      <c r="I56" s="134"/>
      <c r="J56" s="138">
        <f ca="1">IFERROR(__xludf.DUMMYFUNCTION("""COMPUTED_VALUE"""),2824299)</f>
        <v>2824299</v>
      </c>
      <c r="K56" s="138" t="str">
        <f ca="1">IFERROR(__xludf.DUMMYFUNCTION("""COMPUTED_VALUE"""),"Beginner + Intermediate")</f>
        <v>Beginner + Intermediate</v>
      </c>
      <c r="L56" s="139" t="str">
        <f ca="1">IFERROR(__xludf.DUMMYFUNCTION("""COMPUTED_VALUE"""),"R Essential Training Part 2: Modeling Data")</f>
        <v>R Essential Training Part 2: Modeling Data</v>
      </c>
      <c r="M56" s="152"/>
      <c r="N56" s="134"/>
      <c r="O56" s="134"/>
      <c r="P56" s="134"/>
      <c r="Q56" s="138">
        <f ca="1">IFERROR(__xludf.DUMMYFUNCTION("""COMPUTED_VALUE"""),364351)</f>
        <v>364351</v>
      </c>
      <c r="R56" s="138" t="str">
        <f ca="1">IFERROR(__xludf.DUMMYFUNCTION("""COMPUTED_VALUE"""),"Intermediate")</f>
        <v>Intermediate</v>
      </c>
      <c r="S56" s="139" t="str">
        <f ca="1">IFERROR(__xludf.DUMMYFUNCTION("""COMPUTED_VALUE"""),"Teaching Techniques: Project-Based Learning")</f>
        <v>Teaching Techniques: Project-Based Learning</v>
      </c>
      <c r="T56" s="152"/>
      <c r="U56" s="134"/>
      <c r="V56" s="134"/>
    </row>
    <row r="57" spans="1:22" ht="33.75" customHeight="1" x14ac:dyDescent="0.15">
      <c r="A57" s="134"/>
      <c r="B57" s="134"/>
      <c r="C57" s="138">
        <f ca="1">IFERROR(__xludf.DUMMYFUNCTION("""COMPUTED_VALUE"""),191341)</f>
        <v>191341</v>
      </c>
      <c r="D57" s="138" t="str">
        <f ca="1">IFERROR(__xludf.DUMMYFUNCTION("""COMPUTED_VALUE"""),"Intermediate")</f>
        <v>Intermediate</v>
      </c>
      <c r="E57" s="139" t="str">
        <f ca="1">IFERROR(__xludf.DUMMYFUNCTION("""COMPUTED_VALUE"""),"Using Customer Surveys to Improve Service")</f>
        <v>Using Customer Surveys to Improve Service</v>
      </c>
      <c r="F57" s="141"/>
      <c r="G57" s="134"/>
      <c r="H57" s="134"/>
      <c r="I57" s="134"/>
      <c r="J57" s="138">
        <f ca="1">IFERROR(__xludf.DUMMYFUNCTION("""COMPUTED_VALUE"""),2822641)</f>
        <v>2822641</v>
      </c>
      <c r="K57" s="138" t="str">
        <f ca="1">IFERROR(__xludf.DUMMYFUNCTION("""COMPUTED_VALUE"""),"Beginner + Intermediate")</f>
        <v>Beginner + Intermediate</v>
      </c>
      <c r="L57" s="139" t="str">
        <f ca="1">IFERROR(__xludf.DUMMYFUNCTION("""COMPUTED_VALUE"""),"How to Perform Business Analysis in a Virtual Environment")</f>
        <v>How to Perform Business Analysis in a Virtual Environment</v>
      </c>
      <c r="M57" s="152"/>
      <c r="N57" s="134"/>
      <c r="O57" s="134"/>
      <c r="P57" s="134"/>
      <c r="Q57" s="138">
        <f ca="1">IFERROR(__xludf.DUMMYFUNCTION("""COMPUTED_VALUE"""),360033)</f>
        <v>360033</v>
      </c>
      <c r="R57" s="138" t="str">
        <f ca="1">IFERROR(__xludf.DUMMYFUNCTION("""COMPUTED_VALUE"""),"Intermediate")</f>
        <v>Intermediate</v>
      </c>
      <c r="S57" s="139" t="str">
        <f ca="1">IFERROR(__xludf.DUMMYFUNCTION("""COMPUTED_VALUE"""),"Teaching Techniques: Creating Multimedia Learning")</f>
        <v>Teaching Techniques: Creating Multimedia Learning</v>
      </c>
      <c r="T57" s="152"/>
      <c r="U57" s="134"/>
      <c r="V57" s="134"/>
    </row>
    <row r="58" spans="1:22" ht="33.75" customHeight="1" x14ac:dyDescent="0.15">
      <c r="A58" s="134"/>
      <c r="B58" s="134"/>
      <c r="C58" s="138">
        <f ca="1">IFERROR(__xludf.DUMMYFUNCTION("""COMPUTED_VALUE"""),191340)</f>
        <v>191340</v>
      </c>
      <c r="D58" s="138" t="str">
        <f ca="1">IFERROR(__xludf.DUMMYFUNCTION("""COMPUTED_VALUE"""),"Intermediate")</f>
        <v>Intermediate</v>
      </c>
      <c r="E58" s="139" t="str">
        <f ca="1">IFERROR(__xludf.DUMMYFUNCTION("""COMPUTED_VALUE"""),"Working with Upset Customers")</f>
        <v>Working with Upset Customers</v>
      </c>
      <c r="F58" s="141"/>
      <c r="G58" s="134"/>
      <c r="H58" s="134"/>
      <c r="I58" s="134"/>
      <c r="J58" s="138">
        <f ca="1">IFERROR(__xludf.DUMMYFUNCTION("""COMPUTED_VALUE"""),534413)</f>
        <v>534413</v>
      </c>
      <c r="K58" s="138" t="str">
        <f ca="1">IFERROR(__xludf.DUMMYFUNCTION("""COMPUTED_VALUE"""),"Intermediate")</f>
        <v>Intermediate</v>
      </c>
      <c r="L58" s="139" t="str">
        <f ca="1">IFERROR(__xludf.DUMMYFUNCTION("""COMPUTED_VALUE"""),"Analyzing Big Data with Hive")</f>
        <v>Analyzing Big Data with Hive</v>
      </c>
      <c r="M58" s="152"/>
      <c r="N58" s="134"/>
      <c r="O58" s="134"/>
      <c r="P58" s="134"/>
      <c r="Q58" s="138">
        <f ca="1">IFERROR(__xludf.DUMMYFUNCTION("""COMPUTED_VALUE"""),166841)</f>
        <v>166841</v>
      </c>
      <c r="R58" s="138" t="str">
        <f ca="1">IFERROR(__xludf.DUMMYFUNCTION("""COMPUTED_VALUE"""),"Intermediate")</f>
        <v>Intermediate</v>
      </c>
      <c r="S58" s="139" t="str">
        <f ca="1">IFERROR(__xludf.DUMMYFUNCTION("""COMPUTED_VALUE"""),"Teaching Techniques: Classroom Management")</f>
        <v>Teaching Techniques: Classroom Management</v>
      </c>
      <c r="T58" s="152"/>
      <c r="U58" s="134"/>
      <c r="V58" s="134"/>
    </row>
    <row r="59" spans="1:22" ht="33.75" customHeight="1" x14ac:dyDescent="0.15">
      <c r="A59" s="134"/>
      <c r="B59" s="134"/>
      <c r="C59" s="138">
        <f ca="1">IFERROR(__xludf.DUMMYFUNCTION("""COMPUTED_VALUE"""),2815148)</f>
        <v>2815148</v>
      </c>
      <c r="D59" s="138" t="str">
        <f ca="1">IFERROR(__xludf.DUMMYFUNCTION("""COMPUTED_VALUE"""),"Intermediate")</f>
        <v>Intermediate</v>
      </c>
      <c r="E59" s="139" t="str">
        <f ca="1">IFERROR(__xludf.DUMMYFUNCTION("""COMPUTED_VALUE"""),"Aligning Customer Experience with Company Culture")</f>
        <v>Aligning Customer Experience with Company Culture</v>
      </c>
      <c r="F59" s="141"/>
      <c r="G59" s="134"/>
      <c r="H59" s="134"/>
      <c r="I59" s="134"/>
      <c r="J59" s="138">
        <f ca="1">IFERROR(__xludf.DUMMYFUNCTION("""COMPUTED_VALUE"""),647676)</f>
        <v>647676</v>
      </c>
      <c r="K59" s="138" t="str">
        <f ca="1">IFERROR(__xludf.DUMMYFUNCTION("""COMPUTED_VALUE"""),"Intermediate")</f>
        <v>Intermediate</v>
      </c>
      <c r="L59" s="139" t="str">
        <f ca="1">IFERROR(__xludf.DUMMYFUNCTION("""COMPUTED_VALUE"""),"Business Analytics Foundations: Descriptive, Exploratory, and Explanatory Analytics")</f>
        <v>Business Analytics Foundations: Descriptive, Exploratory, and Explanatory Analytics</v>
      </c>
      <c r="M59" s="152"/>
      <c r="N59" s="134"/>
      <c r="O59" s="134"/>
      <c r="P59" s="134"/>
      <c r="Q59" s="138">
        <f ca="1">IFERROR(__xludf.DUMMYFUNCTION("""COMPUTED_VALUE"""),472427)</f>
        <v>472427</v>
      </c>
      <c r="R59" s="138" t="str">
        <f ca="1">IFERROR(__xludf.DUMMYFUNCTION("""COMPUTED_VALUE"""),"Intermediate")</f>
        <v>Intermediate</v>
      </c>
      <c r="S59" s="139" t="str">
        <f ca="1">IFERROR(__xludf.DUMMYFUNCTION("""COMPUTED_VALUE"""),"PowerPoint for Teachers: Creating Interactive Lessons")</f>
        <v>PowerPoint for Teachers: Creating Interactive Lessons</v>
      </c>
      <c r="T59" s="152"/>
      <c r="U59" s="134"/>
      <c r="V59" s="134"/>
    </row>
    <row r="60" spans="1:22" ht="33.75" customHeight="1" x14ac:dyDescent="0.15">
      <c r="A60" s="134"/>
      <c r="B60" s="134"/>
      <c r="C60" s="138">
        <f ca="1">IFERROR(__xludf.DUMMYFUNCTION("""COMPUTED_VALUE"""),2254038)</f>
        <v>2254038</v>
      </c>
      <c r="D60" s="138" t="str">
        <f ca="1">IFERROR(__xludf.DUMMYFUNCTION("""COMPUTED_VALUE"""),"Intermediate")</f>
        <v>Intermediate</v>
      </c>
      <c r="E60" s="139" t="str">
        <f ca="1">IFERROR(__xludf.DUMMYFUNCTION("""COMPUTED_VALUE"""),"Customer Service Using AI and Machine Learning")</f>
        <v>Customer Service Using AI and Machine Learning</v>
      </c>
      <c r="F60" s="141"/>
      <c r="G60" s="134"/>
      <c r="H60" s="134"/>
      <c r="I60" s="134"/>
      <c r="J60" s="138">
        <f ca="1">IFERROR(__xludf.DUMMYFUNCTION("""COMPUTED_VALUE"""),647677)</f>
        <v>647677</v>
      </c>
      <c r="K60" s="138" t="str">
        <f ca="1">IFERROR(__xludf.DUMMYFUNCTION("""COMPUTED_VALUE"""),"Intermediate")</f>
        <v>Intermediate</v>
      </c>
      <c r="L60" s="139" t="str">
        <f ca="1">IFERROR(__xludf.DUMMYFUNCTION("""COMPUTED_VALUE"""),"Business Analytics Foundations: Predictive, Prescriptive, and Experimental Analytics")</f>
        <v>Business Analytics Foundations: Predictive, Prescriptive, and Experimental Analytics</v>
      </c>
      <c r="M60" s="152"/>
      <c r="N60" s="134"/>
      <c r="O60" s="134"/>
      <c r="P60" s="134"/>
      <c r="Q60" s="138">
        <f ca="1">IFERROR(__xludf.DUMMYFUNCTION("""COMPUTED_VALUE"""),452750)</f>
        <v>452750</v>
      </c>
      <c r="R60" s="138" t="str">
        <f ca="1">IFERROR(__xludf.DUMMYFUNCTION("""COMPUTED_VALUE"""),"Intermediate")</f>
        <v>Intermediate</v>
      </c>
      <c r="S60" s="139" t="str">
        <f ca="1">IFERROR(__xludf.DUMMYFUNCTION("""COMPUTED_VALUE"""),"Teaching Complex Topics")</f>
        <v>Teaching Complex Topics</v>
      </c>
      <c r="T60" s="152"/>
      <c r="U60" s="134"/>
      <c r="V60" s="134"/>
    </row>
    <row r="61" spans="1:22" ht="33.75" customHeight="1" x14ac:dyDescent="0.15">
      <c r="A61" s="134"/>
      <c r="B61" s="134"/>
      <c r="C61" s="138">
        <f ca="1">IFERROR(__xludf.DUMMYFUNCTION("""COMPUTED_VALUE"""),2813275)</f>
        <v>2813275</v>
      </c>
      <c r="D61" s="138" t="str">
        <f ca="1">IFERROR(__xludf.DUMMYFUNCTION("""COMPUTED_VALUE"""),"Intermediate")</f>
        <v>Intermediate</v>
      </c>
      <c r="E61" s="139" t="str">
        <f ca="1">IFERROR(__xludf.DUMMYFUNCTION("""COMPUTED_VALUE"""),"Customer Service: Serving Customers Through Chat and Text")</f>
        <v>Customer Service: Serving Customers Through Chat and Text</v>
      </c>
      <c r="F61" s="141"/>
      <c r="G61" s="134"/>
      <c r="H61" s="134"/>
      <c r="I61" s="134"/>
      <c r="J61" s="138">
        <f ca="1">IFERROR(__xludf.DUMMYFUNCTION("""COMPUTED_VALUE"""),475454)</f>
        <v>475454</v>
      </c>
      <c r="K61" s="138" t="str">
        <f ca="1">IFERROR(__xludf.DUMMYFUNCTION("""COMPUTED_VALUE"""),"Intermediate")</f>
        <v>Intermediate</v>
      </c>
      <c r="L61" s="139" t="str">
        <f ca="1">IFERROR(__xludf.DUMMYFUNCTION("""COMPUTED_VALUE"""),"Data Visualization Tips and Tricks")</f>
        <v>Data Visualization Tips and Tricks</v>
      </c>
      <c r="M61" s="152"/>
      <c r="N61" s="134"/>
      <c r="O61" s="134"/>
      <c r="P61" s="134"/>
      <c r="Q61" s="138">
        <f ca="1">IFERROR(__xludf.DUMMYFUNCTION("""COMPUTED_VALUE"""),502050)</f>
        <v>502050</v>
      </c>
      <c r="R61" s="138" t="str">
        <f ca="1">IFERROR(__xludf.DUMMYFUNCTION("""COMPUTED_VALUE"""),"Intermediate")</f>
        <v>Intermediate</v>
      </c>
      <c r="S61" s="139" t="str">
        <f ca="1">IFERROR(__xludf.DUMMYFUNCTION("""COMPUTED_VALUE"""),"Teaching Online: Synchronous Classes")</f>
        <v>Teaching Online: Synchronous Classes</v>
      </c>
      <c r="T61" s="152"/>
      <c r="U61" s="134"/>
      <c r="V61" s="134"/>
    </row>
    <row r="62" spans="1:22" ht="33.75" customHeight="1" x14ac:dyDescent="0.15">
      <c r="A62" s="134"/>
      <c r="B62" s="134"/>
      <c r="C62" s="138">
        <f ca="1">IFERROR(__xludf.DUMMYFUNCTION("""COMPUTED_VALUE"""),2822209)</f>
        <v>2822209</v>
      </c>
      <c r="D62" s="138" t="str">
        <f ca="1">IFERROR(__xludf.DUMMYFUNCTION("""COMPUTED_VALUE"""),"Intermediate")</f>
        <v>Intermediate</v>
      </c>
      <c r="E62" s="139" t="str">
        <f ca="1">IFERROR(__xludf.DUMMYFUNCTION("""COMPUTED_VALUE"""),"Making Business Videos for Customers")</f>
        <v>Making Business Videos for Customers</v>
      </c>
      <c r="F62" s="141"/>
      <c r="G62" s="134"/>
      <c r="H62" s="134"/>
      <c r="I62" s="134"/>
      <c r="J62" s="138">
        <f ca="1">IFERROR(__xludf.DUMMYFUNCTION("""COMPUTED_VALUE"""),618718)</f>
        <v>618718</v>
      </c>
      <c r="K62" s="138" t="str">
        <f ca="1">IFERROR(__xludf.DUMMYFUNCTION("""COMPUTED_VALUE"""),"Intermediate")</f>
        <v>Intermediate</v>
      </c>
      <c r="L62" s="139" t="str">
        <f ca="1">IFERROR(__xludf.DUMMYFUNCTION("""COMPUTED_VALUE"""),"Design Thinking: Data Intelligence")</f>
        <v>Design Thinking: Data Intelligence</v>
      </c>
      <c r="M62" s="152"/>
      <c r="N62" s="134"/>
      <c r="O62" s="134"/>
      <c r="P62" s="134"/>
      <c r="Q62" s="138">
        <f ca="1">IFERROR(__xludf.DUMMYFUNCTION("""COMPUTED_VALUE"""),530687)</f>
        <v>530687</v>
      </c>
      <c r="R62" s="138" t="str">
        <f ca="1">IFERROR(__xludf.DUMMYFUNCTION("""COMPUTED_VALUE"""),"Intermediate")</f>
        <v>Intermediate</v>
      </c>
      <c r="S62" s="139" t="str">
        <f ca="1">IFERROR(__xludf.DUMMYFUNCTION("""COMPUTED_VALUE"""),"Teaching Techniques: Creating Effective Learning Assessments")</f>
        <v>Teaching Techniques: Creating Effective Learning Assessments</v>
      </c>
      <c r="T62" s="152"/>
      <c r="U62" s="134"/>
      <c r="V62" s="134"/>
    </row>
    <row r="63" spans="1:22" ht="33.75" customHeight="1" x14ac:dyDescent="0.15">
      <c r="A63" s="134"/>
      <c r="B63" s="134"/>
      <c r="C63" s="138">
        <f ca="1">IFERROR(__xludf.DUMMYFUNCTION("""COMPUTED_VALUE"""),2815115)</f>
        <v>2815115</v>
      </c>
      <c r="D63" s="138" t="str">
        <f ca="1">IFERROR(__xludf.DUMMYFUNCTION("""COMPUTED_VALUE"""),"Intermediate")</f>
        <v>Intermediate</v>
      </c>
      <c r="E63" s="139" t="str">
        <f ca="1">IFERROR(__xludf.DUMMYFUNCTION("""COMPUTED_VALUE"""),"Serving Customers Using Social Media")</f>
        <v>Serving Customers Using Social Media</v>
      </c>
      <c r="F63" s="141"/>
      <c r="G63" s="134"/>
      <c r="H63" s="134"/>
      <c r="I63" s="134"/>
      <c r="J63" s="138">
        <f ca="1">IFERROR(__xludf.DUMMYFUNCTION("""COMPUTED_VALUE"""),490803)</f>
        <v>490803</v>
      </c>
      <c r="K63" s="138" t="str">
        <f ca="1">IFERROR(__xludf.DUMMYFUNCTION("""COMPUTED_VALUE"""),"Intermediate")</f>
        <v>Intermediate</v>
      </c>
      <c r="L63" s="139" t="str">
        <f ca="1">IFERROR(__xludf.DUMMYFUNCTION("""COMPUTED_VALUE"""),"Excel 2016: Managing and Analyzing Data")</f>
        <v>Excel 2016: Managing and Analyzing Data</v>
      </c>
      <c r="M63" s="152"/>
      <c r="N63" s="134"/>
      <c r="O63" s="134"/>
      <c r="P63" s="134"/>
      <c r="Q63" s="138">
        <f ca="1">IFERROR(__xludf.DUMMYFUNCTION("""COMPUTED_VALUE"""),2823559)</f>
        <v>2823559</v>
      </c>
      <c r="R63" s="138" t="str">
        <f ca="1">IFERROR(__xludf.DUMMYFUNCTION("""COMPUTED_VALUE"""),"Intermediate")</f>
        <v>Intermediate</v>
      </c>
      <c r="S63" s="139" t="str">
        <f ca="1">IFERROR(__xludf.DUMMYFUNCTION("""COMPUTED_VALUE"""),"The Future of Workplace Learning")</f>
        <v>The Future of Workplace Learning</v>
      </c>
      <c r="T63" s="152"/>
      <c r="U63" s="134"/>
      <c r="V63" s="134"/>
    </row>
    <row r="64" spans="1:22" ht="33.75" customHeight="1" x14ac:dyDescent="0.15">
      <c r="A64" s="134"/>
      <c r="B64" s="134"/>
      <c r="C64" s="138">
        <f ca="1">IFERROR(__xludf.DUMMYFUNCTION("""COMPUTED_VALUE"""),2975167)</f>
        <v>2975167</v>
      </c>
      <c r="D64" s="138" t="str">
        <f ca="1">IFERROR(__xludf.DUMMYFUNCTION("""COMPUTED_VALUE"""),"Intermediate")</f>
        <v>Intermediate</v>
      </c>
      <c r="E64" s="139" t="str">
        <f ca="1">IFERROR(__xludf.DUMMYFUNCTION("""COMPUTED_VALUE"""),"Leading a Customer Service Team")</f>
        <v>Leading a Customer Service Team</v>
      </c>
      <c r="F64" s="141"/>
      <c r="G64" s="134"/>
      <c r="H64" s="134"/>
      <c r="I64" s="134"/>
      <c r="J64" s="138">
        <f ca="1">IFERROR(__xludf.DUMMYFUNCTION("""COMPUTED_VALUE"""),153775)</f>
        <v>153775</v>
      </c>
      <c r="K64" s="138" t="str">
        <f ca="1">IFERROR(__xludf.DUMMYFUNCTION("""COMPUTED_VALUE"""),"Intermediate")</f>
        <v>Intermediate</v>
      </c>
      <c r="L64" s="139" t="str">
        <f ca="1">IFERROR(__xludf.DUMMYFUNCTION("""COMPUTED_VALUE"""),"Excel Data Analysis: Forecasting")</f>
        <v>Excel Data Analysis: Forecasting</v>
      </c>
      <c r="M64" s="152"/>
      <c r="N64" s="134"/>
      <c r="O64" s="134"/>
      <c r="P64" s="134"/>
      <c r="Q64" s="138">
        <f ca="1">IFERROR(__xludf.DUMMYFUNCTION("""COMPUTED_VALUE"""),2841547)</f>
        <v>2841547</v>
      </c>
      <c r="R64" s="138" t="str">
        <f ca="1">IFERROR(__xludf.DUMMYFUNCTION("""COMPUTED_VALUE"""),"Intermediate")</f>
        <v>Intermediate</v>
      </c>
      <c r="S64" s="139" t="str">
        <f ca="1">IFERROR(__xludf.DUMMYFUNCTION("""COMPUTED_VALUE"""),"UX Deep Dive: Remote Research")</f>
        <v>UX Deep Dive: Remote Research</v>
      </c>
      <c r="T64" s="152"/>
      <c r="U64" s="134"/>
      <c r="V64" s="134"/>
    </row>
    <row r="65" spans="1:22" ht="33.75" customHeight="1" x14ac:dyDescent="0.15">
      <c r="A65" s="134"/>
      <c r="B65" s="134"/>
      <c r="C65" s="138"/>
      <c r="D65" s="138"/>
      <c r="E65" s="143"/>
      <c r="F65" s="141"/>
      <c r="G65" s="134"/>
      <c r="H65" s="134"/>
      <c r="I65" s="134"/>
      <c r="J65" s="138">
        <f ca="1">IFERROR(__xludf.DUMMYFUNCTION("""COMPUTED_VALUE"""),2814138)</f>
        <v>2814138</v>
      </c>
      <c r="K65" s="138" t="str">
        <f ca="1">IFERROR(__xludf.DUMMYFUNCTION("""COMPUTED_VALUE"""),"Intermediate")</f>
        <v>Intermediate</v>
      </c>
      <c r="L65" s="139" t="str">
        <f ca="1">IFERROR(__xludf.DUMMYFUNCTION("""COMPUTED_VALUE"""),"Excel: Charts in Depth")</f>
        <v>Excel: Charts in Depth</v>
      </c>
      <c r="M65" s="152"/>
      <c r="N65" s="134"/>
      <c r="O65" s="134"/>
      <c r="P65" s="134"/>
      <c r="Q65" s="138">
        <f ca="1">IFERROR(__xludf.DUMMYFUNCTION("""COMPUTED_VALUE"""),2841392)</f>
        <v>2841392</v>
      </c>
      <c r="R65" s="138" t="str">
        <f ca="1">IFERROR(__xludf.DUMMYFUNCTION("""COMPUTED_VALUE"""),"Intermediate")</f>
        <v>Intermediate</v>
      </c>
      <c r="S65" s="139" t="str">
        <f ca="1">IFERROR(__xludf.DUMMYFUNCTION("""COMPUTED_VALUE"""),"Articulate Storyline 360: Advanced Elearning")</f>
        <v>Articulate Storyline 360: Advanced Elearning</v>
      </c>
      <c r="T65" s="152"/>
      <c r="U65" s="134"/>
      <c r="V65" s="134"/>
    </row>
    <row r="66" spans="1:22" ht="33.75" customHeight="1" x14ac:dyDescent="0.15">
      <c r="A66" s="134"/>
      <c r="B66" s="134"/>
      <c r="C66" s="138"/>
      <c r="D66" s="138"/>
      <c r="E66" s="143"/>
      <c r="F66" s="141"/>
      <c r="G66" s="134"/>
      <c r="H66" s="134"/>
      <c r="I66" s="134"/>
      <c r="J66" s="138">
        <f ca="1">IFERROR(__xludf.DUMMYFUNCTION("""COMPUTED_VALUE"""),173210)</f>
        <v>173210</v>
      </c>
      <c r="K66" s="138" t="str">
        <f ca="1">IFERROR(__xludf.DUMMYFUNCTION("""COMPUTED_VALUE"""),"Intermediate")</f>
        <v>Intermediate</v>
      </c>
      <c r="L66" s="139" t="str">
        <f ca="1">IFERROR(__xludf.DUMMYFUNCTION("""COMPUTED_VALUE"""),"Financial Analysis: Analyzing the Bottom Line with Excel")</f>
        <v>Financial Analysis: Analyzing the Bottom Line with Excel</v>
      </c>
      <c r="M66" s="152"/>
      <c r="N66" s="134"/>
      <c r="O66" s="134"/>
      <c r="P66" s="134"/>
      <c r="Q66" s="138">
        <f ca="1">IFERROR(__xludf.DUMMYFUNCTION("""COMPUTED_VALUE"""),461908)</f>
        <v>461908</v>
      </c>
      <c r="R66" s="138" t="str">
        <f ca="1">IFERROR(__xludf.DUMMYFUNCTION("""COMPUTED_VALUE"""),"Intermediate")</f>
        <v>Intermediate</v>
      </c>
      <c r="S66" s="139" t="str">
        <f ca="1">IFERROR(__xludf.DUMMYFUNCTION("""COMPUTED_VALUE"""),"Teaching Techniques: Making Accessible Learning")</f>
        <v>Teaching Techniques: Making Accessible Learning</v>
      </c>
      <c r="T66" s="152"/>
      <c r="U66" s="134"/>
      <c r="V66" s="134"/>
    </row>
    <row r="67" spans="1:22" ht="33.75" customHeight="1" x14ac:dyDescent="0.15">
      <c r="A67" s="134"/>
      <c r="B67" s="134"/>
      <c r="C67" s="138"/>
      <c r="D67" s="138"/>
      <c r="E67" s="143"/>
      <c r="F67" s="141"/>
      <c r="G67" s="134"/>
      <c r="H67" s="134"/>
      <c r="I67" s="134"/>
      <c r="J67" s="138">
        <f ca="1">IFERROR(__xludf.DUMMYFUNCTION("""COMPUTED_VALUE"""),2861045)</f>
        <v>2861045</v>
      </c>
      <c r="K67" s="138" t="str">
        <f ca="1">IFERROR(__xludf.DUMMYFUNCTION("""COMPUTED_VALUE"""),"Intermediate")</f>
        <v>Intermediate</v>
      </c>
      <c r="L67" s="139" t="str">
        <f ca="1">IFERROR(__xludf.DUMMYFUNCTION("""COMPUTED_VALUE"""),"15 Mistakes to Avoid in Data Science")</f>
        <v>15 Mistakes to Avoid in Data Science</v>
      </c>
      <c r="M67" s="152"/>
      <c r="N67" s="134"/>
      <c r="O67" s="134"/>
      <c r="P67" s="134"/>
      <c r="Q67" s="138">
        <f ca="1">IFERROR(__xludf.DUMMYFUNCTION("""COMPUTED_VALUE"""),373783)</f>
        <v>373783</v>
      </c>
      <c r="R67" s="138" t="str">
        <f ca="1">IFERROR(__xludf.DUMMYFUNCTION("""COMPUTED_VALUE"""),"Intermediate")</f>
        <v>Intermediate</v>
      </c>
      <c r="S67" s="139" t="str">
        <f ca="1">IFERROR(__xludf.DUMMYFUNCTION("""COMPUTED_VALUE"""),"Teacher Tech Tips")</f>
        <v>Teacher Tech Tips</v>
      </c>
      <c r="T67" s="152"/>
      <c r="U67" s="134"/>
      <c r="V67" s="134"/>
    </row>
    <row r="68" spans="1:22" ht="33.75" customHeight="1" x14ac:dyDescent="0.15">
      <c r="A68" s="134"/>
      <c r="B68" s="134"/>
      <c r="C68" s="138"/>
      <c r="D68" s="138"/>
      <c r="E68" s="143"/>
      <c r="F68" s="141"/>
      <c r="G68" s="134"/>
      <c r="H68" s="134"/>
      <c r="I68" s="134"/>
      <c r="J68" s="138">
        <f ca="1">IFERROR(__xludf.DUMMYFUNCTION("""COMPUTED_VALUE"""),2825411)</f>
        <v>2825411</v>
      </c>
      <c r="K68" s="138" t="str">
        <f ca="1">IFERROR(__xludf.DUMMYFUNCTION("""COMPUTED_VALUE"""),"Intermediate")</f>
        <v>Intermediate</v>
      </c>
      <c r="L68" s="139" t="str">
        <f ca="1">IFERROR(__xludf.DUMMYFUNCTION("""COMPUTED_VALUE"""),"UX Deep Dive: Analyzing Data")</f>
        <v>UX Deep Dive: Analyzing Data</v>
      </c>
      <c r="M68" s="152"/>
      <c r="N68" s="134"/>
      <c r="O68" s="134"/>
      <c r="P68" s="134"/>
      <c r="Q68" s="138">
        <f ca="1">IFERROR(__xludf.DUMMYFUNCTION("""COMPUTED_VALUE"""),2809590)</f>
        <v>2809590</v>
      </c>
      <c r="R68" s="138" t="str">
        <f ca="1">IFERROR(__xludf.DUMMYFUNCTION("""COMPUTED_VALUE"""),"Intermediate")</f>
        <v>Intermediate</v>
      </c>
      <c r="S68" s="139" t="str">
        <f ca="1">IFERROR(__xludf.DUMMYFUNCTION("""COMPUTED_VALUE"""),"Camtasia 2019 Essential Training: Advanced Techniques")</f>
        <v>Camtasia 2019 Essential Training: Advanced Techniques</v>
      </c>
      <c r="T68" s="152"/>
      <c r="U68" s="134"/>
      <c r="V68" s="134"/>
    </row>
    <row r="69" spans="1:22" ht="33.75" customHeight="1" x14ac:dyDescent="0.15">
      <c r="A69" s="134"/>
      <c r="B69" s="134"/>
      <c r="C69" s="138"/>
      <c r="D69" s="138"/>
      <c r="E69" s="143"/>
      <c r="F69" s="141"/>
      <c r="G69" s="134"/>
      <c r="H69" s="134"/>
      <c r="I69" s="134"/>
      <c r="J69" s="138">
        <f ca="1">IFERROR(__xludf.DUMMYFUNCTION("""COMPUTED_VALUE"""),2860040)</f>
        <v>2860040</v>
      </c>
      <c r="K69" s="138" t="str">
        <f ca="1">IFERROR(__xludf.DUMMYFUNCTION("""COMPUTED_VALUE"""),"Intermediate")</f>
        <v>Intermediate</v>
      </c>
      <c r="L69" s="139" t="str">
        <f ca="1">IFERROR(__xludf.DUMMYFUNCTION("""COMPUTED_VALUE"""),"Lessons from Data Scientists")</f>
        <v>Lessons from Data Scientists</v>
      </c>
      <c r="M69" s="152"/>
      <c r="N69" s="134"/>
      <c r="O69" s="134"/>
      <c r="P69" s="134"/>
      <c r="Q69" s="138">
        <f ca="1">IFERROR(__xludf.DUMMYFUNCTION("""COMPUTED_VALUE"""),2229236)</f>
        <v>2229236</v>
      </c>
      <c r="R69" s="138" t="str">
        <f ca="1">IFERROR(__xludf.DUMMYFUNCTION("""COMPUTED_VALUE"""),"Intermediate")</f>
        <v>Intermediate</v>
      </c>
      <c r="S69" s="139" t="str">
        <f ca="1">IFERROR(__xludf.DUMMYFUNCTION("""COMPUTED_VALUE"""),"Designing a Training Program: Setting Goals, Objectives, and Mediums")</f>
        <v>Designing a Training Program: Setting Goals, Objectives, and Mediums</v>
      </c>
      <c r="T69" s="152"/>
      <c r="U69" s="134"/>
      <c r="V69" s="134"/>
    </row>
    <row r="70" spans="1:22" ht="33.75" customHeight="1" x14ac:dyDescent="0.15">
      <c r="A70" s="134"/>
      <c r="B70" s="134"/>
      <c r="C70" s="138"/>
      <c r="D70" s="138"/>
      <c r="E70" s="143"/>
      <c r="F70" s="141"/>
      <c r="G70" s="134"/>
      <c r="H70" s="134"/>
      <c r="I70" s="134"/>
      <c r="J70" s="138">
        <f ca="1">IFERROR(__xludf.DUMMYFUNCTION("""COMPUTED_VALUE"""),2863046)</f>
        <v>2863046</v>
      </c>
      <c r="K70" s="138" t="str">
        <f ca="1">IFERROR(__xludf.DUMMYFUNCTION("""COMPUTED_VALUE"""),"Intermediate")</f>
        <v>Intermediate</v>
      </c>
      <c r="L70" s="139" t="str">
        <f ca="1">IFERROR(__xludf.DUMMYFUNCTION("""COMPUTED_VALUE"""),"Data Visualization: Storytelling")</f>
        <v>Data Visualization: Storytelling</v>
      </c>
      <c r="M70" s="152"/>
      <c r="N70" s="134"/>
      <c r="O70" s="134"/>
      <c r="P70" s="134"/>
      <c r="Q70" s="138">
        <f ca="1">IFERROR(__xludf.DUMMYFUNCTION("""COMPUTED_VALUE"""),2820018)</f>
        <v>2820018</v>
      </c>
      <c r="R70" s="138" t="str">
        <f ca="1">IFERROR(__xludf.DUMMYFUNCTION("""COMPUTED_VALUE"""),"Intermediate")</f>
        <v>Intermediate</v>
      </c>
      <c r="S70" s="139" t="str">
        <f ca="1">IFERROR(__xludf.DUMMYFUNCTION("""COMPUTED_VALUE"""),"Elearning Tips")</f>
        <v>Elearning Tips</v>
      </c>
      <c r="T70" s="152"/>
      <c r="U70" s="134"/>
      <c r="V70" s="134"/>
    </row>
    <row r="71" spans="1:22" ht="33.75" customHeight="1" x14ac:dyDescent="0.15">
      <c r="A71" s="134"/>
      <c r="B71" s="134"/>
      <c r="C71" s="138"/>
      <c r="D71" s="138"/>
      <c r="E71" s="143"/>
      <c r="F71" s="141"/>
      <c r="G71" s="134"/>
      <c r="H71" s="134"/>
      <c r="I71" s="134"/>
      <c r="J71" s="138">
        <f ca="1">IFERROR(__xludf.DUMMYFUNCTION("""COMPUTED_VALUE"""),2856077)</f>
        <v>2856077</v>
      </c>
      <c r="K71" s="138" t="str">
        <f ca="1">IFERROR(__xludf.DUMMYFUNCTION("""COMPUTED_VALUE"""),"Intermediate")</f>
        <v>Intermediate</v>
      </c>
      <c r="L71" s="139" t="str">
        <f ca="1">IFERROR(__xludf.DUMMYFUNCTION("""COMPUTED_VALUE"""),"Excel Supply Chain Analysis: Solving Transportation Problems")</f>
        <v>Excel Supply Chain Analysis: Solving Transportation Problems</v>
      </c>
      <c r="M71" s="152"/>
      <c r="N71" s="134"/>
      <c r="O71" s="134"/>
      <c r="P71" s="134"/>
      <c r="Q71" s="138">
        <f ca="1">IFERROR(__xludf.DUMMYFUNCTION("""COMPUTED_VALUE"""),2811351)</f>
        <v>2811351</v>
      </c>
      <c r="R71" s="138" t="str">
        <f ca="1">IFERROR(__xludf.DUMMYFUNCTION("""COMPUTED_VALUE"""),"Intermediate")</f>
        <v>Intermediate</v>
      </c>
      <c r="S71" s="153" t="str">
        <f ca="1">IFERROR(__xludf.DUMMYFUNCTION("""COMPUTED_VALUE"""),"Practical Success Metrics in Your Training Program")</f>
        <v>Practical Success Metrics in Your Training Program</v>
      </c>
      <c r="T71" s="152"/>
      <c r="U71" s="134"/>
      <c r="V71" s="134"/>
    </row>
    <row r="72" spans="1:22" ht="33.75" customHeight="1" x14ac:dyDescent="0.15">
      <c r="A72" s="134"/>
      <c r="B72" s="134"/>
      <c r="C72" s="138"/>
      <c r="D72" s="138"/>
      <c r="E72" s="143"/>
      <c r="F72" s="141"/>
      <c r="G72" s="134"/>
      <c r="H72" s="134"/>
      <c r="I72" s="134"/>
      <c r="J72" s="138">
        <f ca="1">IFERROR(__xludf.DUMMYFUNCTION("""COMPUTED_VALUE"""),173209)</f>
        <v>173209</v>
      </c>
      <c r="K72" s="138" t="str">
        <f ca="1">IFERROR(__xludf.DUMMYFUNCTION("""COMPUTED_VALUE"""),"Intermediate")</f>
        <v>Intermediate</v>
      </c>
      <c r="L72" s="139" t="str">
        <f ca="1">IFERROR(__xludf.DUMMYFUNCTION("""COMPUTED_VALUE"""),"Financial Analysis: Analyzing the Top Line with Excel")</f>
        <v>Financial Analysis: Analyzing the Top Line with Excel</v>
      </c>
      <c r="M72" s="152"/>
      <c r="N72" s="134"/>
      <c r="O72" s="134"/>
      <c r="P72" s="134"/>
      <c r="Q72" s="138">
        <f ca="1">IFERROR(__xludf.DUMMYFUNCTION("""COMPUTED_VALUE"""),2822411)</f>
        <v>2822411</v>
      </c>
      <c r="R72" s="138" t="str">
        <f ca="1">IFERROR(__xludf.DUMMYFUNCTION("""COMPUTED_VALUE"""),"Intermediate")</f>
        <v>Intermediate</v>
      </c>
      <c r="S72" s="153" t="str">
        <f ca="1">IFERROR(__xludf.DUMMYFUNCTION("""COMPUTED_VALUE"""),"Interaction Design: Interface")</f>
        <v>Interaction Design: Interface</v>
      </c>
      <c r="T72" s="152"/>
      <c r="U72" s="134"/>
      <c r="V72" s="134"/>
    </row>
    <row r="73" spans="1:22" ht="33.75" customHeight="1" x14ac:dyDescent="0.15">
      <c r="A73" s="134"/>
      <c r="B73" s="134"/>
      <c r="C73" s="138"/>
      <c r="D73" s="138"/>
      <c r="E73" s="143"/>
      <c r="F73" s="141"/>
      <c r="G73" s="134"/>
      <c r="H73" s="134"/>
      <c r="I73" s="134"/>
      <c r="J73" s="138">
        <f ca="1">IFERROR(__xludf.DUMMYFUNCTION("""COMPUTED_VALUE"""),162274)</f>
        <v>162274</v>
      </c>
      <c r="K73" s="138" t="str">
        <f ca="1">IFERROR(__xludf.DUMMYFUNCTION("""COMPUTED_VALUE"""),"Intermediate")</f>
        <v>Intermediate</v>
      </c>
      <c r="L73" s="139" t="str">
        <f ca="1">IFERROR(__xludf.DUMMYFUNCTION("""COMPUTED_VALUE"""),"Financial Analysis: Making Business Projections")</f>
        <v>Financial Analysis: Making Business Projections</v>
      </c>
      <c r="M73" s="152"/>
      <c r="N73" s="134"/>
      <c r="O73" s="134"/>
      <c r="P73" s="134"/>
      <c r="Q73" s="138">
        <f ca="1">IFERROR(__xludf.DUMMYFUNCTION("""COMPUTED_VALUE"""),2822428)</f>
        <v>2822428</v>
      </c>
      <c r="R73" s="138" t="str">
        <f ca="1">IFERROR(__xludf.DUMMYFUNCTION("""COMPUTED_VALUE"""),"Intermediate")</f>
        <v>Intermediate</v>
      </c>
      <c r="S73" s="153" t="str">
        <f ca="1">IFERROR(__xludf.DUMMYFUNCTION("""COMPUTED_VALUE"""),"Applied Interaction Design: Managing Comments")</f>
        <v>Applied Interaction Design: Managing Comments</v>
      </c>
      <c r="T73" s="152"/>
      <c r="U73" s="134"/>
      <c r="V73" s="134"/>
    </row>
    <row r="74" spans="1:22" ht="33.75" customHeight="1" x14ac:dyDescent="0.15">
      <c r="A74" s="134"/>
      <c r="B74" s="134"/>
      <c r="C74" s="138"/>
      <c r="D74" s="138"/>
      <c r="E74" s="143"/>
      <c r="F74" s="141"/>
      <c r="G74" s="134"/>
      <c r="H74" s="134"/>
      <c r="I74" s="134"/>
      <c r="J74" s="138">
        <f ca="1">IFERROR(__xludf.DUMMYFUNCTION("""COMPUTED_VALUE"""),614306)</f>
        <v>614306</v>
      </c>
      <c r="K74" s="138" t="str">
        <f ca="1">IFERROR(__xludf.DUMMYFUNCTION("""COMPUTED_VALUE"""),"Intermediate")</f>
        <v>Intermediate</v>
      </c>
      <c r="L74" s="139" t="str">
        <f ca="1">IFERROR(__xludf.DUMMYFUNCTION("""COMPUTED_VALUE"""),"Meta-analysis for Data Science and Business Analytics")</f>
        <v>Meta-analysis for Data Science and Business Analytics</v>
      </c>
      <c r="M74" s="152"/>
      <c r="N74" s="134"/>
      <c r="O74" s="134"/>
      <c r="P74" s="134"/>
      <c r="Q74" s="138">
        <f ca="1">IFERROR(__xludf.DUMMYFUNCTION("""COMPUTED_VALUE"""),2825605)</f>
        <v>2825605</v>
      </c>
      <c r="R74" s="138" t="str">
        <f ca="1">IFERROR(__xludf.DUMMYFUNCTION("""COMPUTED_VALUE"""),"Intermediate")</f>
        <v>Intermediate</v>
      </c>
      <c r="S74" s="153" t="str">
        <f ca="1">IFERROR(__xludf.DUMMYFUNCTION("""COMPUTED_VALUE"""),"Adobe Captivate: Advanced Actions")</f>
        <v>Adobe Captivate: Advanced Actions</v>
      </c>
      <c r="T74" s="152"/>
      <c r="U74" s="134"/>
      <c r="V74" s="134"/>
    </row>
    <row r="75" spans="1:22" ht="30" x14ac:dyDescent="0.15">
      <c r="A75" s="134"/>
      <c r="B75" s="134"/>
      <c r="C75" s="138"/>
      <c r="D75" s="138"/>
      <c r="E75" s="143"/>
      <c r="F75" s="141"/>
      <c r="G75" s="134"/>
      <c r="H75" s="134"/>
      <c r="I75" s="134"/>
      <c r="J75" s="138">
        <f ca="1">IFERROR(__xludf.DUMMYFUNCTION("""COMPUTED_VALUE"""),667381)</f>
        <v>667381</v>
      </c>
      <c r="K75" s="138" t="str">
        <f ca="1">IFERROR(__xludf.DUMMYFUNCTION("""COMPUTED_VALUE"""),"Intermediate")</f>
        <v>Intermediate</v>
      </c>
      <c r="L75" s="139" t="str">
        <f ca="1">IFERROR(__xludf.DUMMYFUNCTION("""COMPUTED_VALUE"""),"NoSQL Data Modeling Essential Training")</f>
        <v>NoSQL Data Modeling Essential Training</v>
      </c>
      <c r="M75" s="152"/>
      <c r="N75" s="134"/>
      <c r="O75" s="134"/>
      <c r="P75" s="134"/>
      <c r="Q75" s="138">
        <f ca="1">IFERROR(__xludf.DUMMYFUNCTION("""COMPUTED_VALUE"""),2976142)</f>
        <v>2976142</v>
      </c>
      <c r="R75" s="138" t="str">
        <f ca="1">IFERROR(__xludf.DUMMYFUNCTION("""COMPUTED_VALUE"""),"Intermediate")</f>
        <v>Intermediate</v>
      </c>
      <c r="S75" s="153" t="str">
        <f ca="1">IFERROR(__xludf.DUMMYFUNCTION("""COMPUTED_VALUE"""),"Converting Face-to-Face Training into Digital Learning")</f>
        <v>Converting Face-to-Face Training into Digital Learning</v>
      </c>
      <c r="T75" s="152"/>
      <c r="U75" s="134"/>
      <c r="V75" s="134"/>
    </row>
    <row r="76" spans="1:22" ht="15" x14ac:dyDescent="0.15">
      <c r="A76" s="134"/>
      <c r="B76" s="134"/>
      <c r="C76" s="138"/>
      <c r="D76" s="138"/>
      <c r="E76" s="143"/>
      <c r="F76" s="141"/>
      <c r="G76" s="134"/>
      <c r="H76" s="134"/>
      <c r="I76" s="134"/>
      <c r="J76" s="138">
        <f ca="1">IFERROR(__xludf.DUMMYFUNCTION("""COMPUTED_VALUE"""),503930)</f>
        <v>503930</v>
      </c>
      <c r="K76" s="138" t="str">
        <f ca="1">IFERROR(__xludf.DUMMYFUNCTION("""COMPUTED_VALUE"""),"Intermediate")</f>
        <v>Intermediate</v>
      </c>
      <c r="L76" s="139" t="str">
        <f ca="1">IFERROR(__xludf.DUMMYFUNCTION("""COMPUTED_VALUE"""),"Statistics Foundations: 3")</f>
        <v>Statistics Foundations: 3</v>
      </c>
      <c r="M76" s="152"/>
      <c r="N76" s="134"/>
      <c r="O76" s="134"/>
      <c r="P76" s="134"/>
      <c r="Q76" s="138">
        <f ca="1">IFERROR(__xludf.DUMMYFUNCTION("""COMPUTED_VALUE"""),2825438)</f>
        <v>2825438</v>
      </c>
      <c r="R76" s="138" t="str">
        <f ca="1">IFERROR(__xludf.DUMMYFUNCTION("""COMPUTED_VALUE"""),"Intermediate")</f>
        <v>Intermediate</v>
      </c>
      <c r="S76" s="153" t="str">
        <f ca="1">IFERROR(__xludf.DUMMYFUNCTION("""COMPUTED_VALUE"""),"Articulate Storyline Quick Tips")</f>
        <v>Articulate Storyline Quick Tips</v>
      </c>
      <c r="T76" s="152"/>
      <c r="U76" s="134"/>
      <c r="V76" s="134"/>
    </row>
    <row r="77" spans="1:22" ht="30" x14ac:dyDescent="0.15">
      <c r="A77" s="134"/>
      <c r="B77" s="134"/>
      <c r="C77" s="138"/>
      <c r="D77" s="138"/>
      <c r="E77" s="143"/>
      <c r="F77" s="141"/>
      <c r="G77" s="134"/>
      <c r="H77" s="134"/>
      <c r="I77" s="134"/>
      <c r="J77" s="138">
        <f ca="1">IFERROR(__xludf.DUMMYFUNCTION("""COMPUTED_VALUE"""),777348)</f>
        <v>777348</v>
      </c>
      <c r="K77" s="138" t="str">
        <f ca="1">IFERROR(__xludf.DUMMYFUNCTION("""COMPUTED_VALUE"""),"Intermediate")</f>
        <v>Intermediate</v>
      </c>
      <c r="L77" s="139" t="str">
        <f ca="1">IFERROR(__xludf.DUMMYFUNCTION("""COMPUTED_VALUE"""),"Telling Stories with Data")</f>
        <v>Telling Stories with Data</v>
      </c>
      <c r="M77" s="152"/>
      <c r="N77" s="134"/>
      <c r="O77" s="134"/>
      <c r="P77" s="134"/>
      <c r="Q77" s="138">
        <f ca="1">IFERROR(__xludf.DUMMYFUNCTION("""COMPUTED_VALUE"""),2975172)</f>
        <v>2975172</v>
      </c>
      <c r="R77" s="138" t="str">
        <f ca="1">IFERROR(__xludf.DUMMYFUNCTION("""COMPUTED_VALUE"""),"Intermediate")</f>
        <v>Intermediate</v>
      </c>
      <c r="S77" s="153" t="str">
        <f ca="1">IFERROR(__xludf.DUMMYFUNCTION("""COMPUTED_VALUE"""),"20 Questions to Improve Learning at Your Organization")</f>
        <v>20 Questions to Improve Learning at Your Organization</v>
      </c>
      <c r="T77" s="152"/>
      <c r="U77" s="134"/>
      <c r="V77" s="134"/>
    </row>
    <row r="78" spans="1:22" ht="15" x14ac:dyDescent="0.15">
      <c r="A78" s="134"/>
      <c r="B78" s="134"/>
      <c r="C78" s="138"/>
      <c r="D78" s="138"/>
      <c r="E78" s="143"/>
      <c r="F78" s="141"/>
      <c r="G78" s="134"/>
      <c r="H78" s="134"/>
      <c r="I78" s="134"/>
      <c r="J78" s="138">
        <f ca="1">IFERROR(__xludf.DUMMYFUNCTION("""COMPUTED_VALUE"""),5040395)</f>
        <v>5040395</v>
      </c>
      <c r="K78" s="138" t="str">
        <f ca="1">IFERROR(__xludf.DUMMYFUNCTION("""COMPUTED_VALUE"""),"Intermediate")</f>
        <v>Intermediate</v>
      </c>
      <c r="L78" s="139" t="str">
        <f ca="1">IFERROR(__xludf.DUMMYFUNCTION("""COMPUTED_VALUE"""),"Power BI Data Modeling with DAX")</f>
        <v>Power BI Data Modeling with DAX</v>
      </c>
      <c r="M78" s="152"/>
      <c r="N78" s="134"/>
      <c r="O78" s="134"/>
      <c r="P78" s="134"/>
      <c r="Q78" s="138"/>
      <c r="R78" s="138"/>
      <c r="S78" s="151"/>
      <c r="T78" s="152"/>
      <c r="U78" s="134"/>
      <c r="V78" s="134"/>
    </row>
    <row r="79" spans="1:22" ht="30" x14ac:dyDescent="0.15">
      <c r="A79" s="134"/>
      <c r="B79" s="134"/>
      <c r="C79" s="138"/>
      <c r="D79" s="138"/>
      <c r="E79" s="143"/>
      <c r="F79" s="141"/>
      <c r="G79" s="134"/>
      <c r="H79" s="134"/>
      <c r="I79" s="134"/>
      <c r="J79" s="138">
        <f ca="1">IFERROR(__xludf.DUMMYFUNCTION("""COMPUTED_VALUE"""),2813260)</f>
        <v>2813260</v>
      </c>
      <c r="K79" s="138" t="str">
        <f ca="1">IFERROR(__xludf.DUMMYFUNCTION("""COMPUTED_VALUE"""),"Intermediate")</f>
        <v>Intermediate</v>
      </c>
      <c r="L79" s="139" t="str">
        <f ca="1">IFERROR(__xludf.DUMMYFUNCTION("""COMPUTED_VALUE"""),"Big Data Analytics with Hadoop and Apache Spark")</f>
        <v>Big Data Analytics with Hadoop and Apache Spark</v>
      </c>
      <c r="M79" s="152"/>
      <c r="N79" s="134"/>
      <c r="O79" s="134"/>
      <c r="P79" s="134"/>
      <c r="Q79" s="138"/>
      <c r="R79" s="138"/>
      <c r="S79" s="151"/>
      <c r="T79" s="152"/>
      <c r="U79" s="134"/>
      <c r="V79" s="134"/>
    </row>
    <row r="80" spans="1:22" ht="30" x14ac:dyDescent="0.15">
      <c r="A80" s="134"/>
      <c r="B80" s="134"/>
      <c r="C80" s="138"/>
      <c r="D80" s="138"/>
      <c r="E80" s="143"/>
      <c r="F80" s="141"/>
      <c r="G80" s="134"/>
      <c r="H80" s="134"/>
      <c r="I80" s="134"/>
      <c r="J80" s="138">
        <f ca="1">IFERROR(__xludf.DUMMYFUNCTION("""COMPUTED_VALUE"""),786423)</f>
        <v>786423</v>
      </c>
      <c r="K80" s="138" t="str">
        <f ca="1">IFERROR(__xludf.DUMMYFUNCTION("""COMPUTED_VALUE"""),"Intermediate")</f>
        <v>Intermediate</v>
      </c>
      <c r="L80" s="139" t="str">
        <f ca="1">IFERROR(__xludf.DUMMYFUNCTION("""COMPUTED_VALUE"""),"Text Analytics and Predictions with R Essential Training")</f>
        <v>Text Analytics and Predictions with R Essential Training</v>
      </c>
      <c r="M80" s="152"/>
      <c r="N80" s="134"/>
      <c r="O80" s="134"/>
      <c r="P80" s="134"/>
      <c r="Q80" s="138"/>
      <c r="R80" s="138"/>
      <c r="S80" s="151"/>
      <c r="T80" s="152"/>
      <c r="U80" s="134"/>
      <c r="V80" s="134"/>
    </row>
    <row r="81" spans="1:22" ht="15" x14ac:dyDescent="0.15">
      <c r="A81" s="144"/>
      <c r="B81" s="144"/>
      <c r="C81" s="138"/>
      <c r="D81" s="138"/>
      <c r="E81" s="143"/>
      <c r="F81" s="141"/>
      <c r="G81" s="144"/>
      <c r="H81" s="144"/>
      <c r="I81" s="144"/>
      <c r="J81" s="138">
        <f ca="1">IFERROR(__xludf.DUMMYFUNCTION("""COMPUTED_VALUE"""),2211317)</f>
        <v>2211317</v>
      </c>
      <c r="K81" s="138" t="str">
        <f ca="1">IFERROR(__xludf.DUMMYFUNCTION("""COMPUTED_VALUE"""),"Intermediate")</f>
        <v>Intermediate</v>
      </c>
      <c r="L81" s="139" t="str">
        <f ca="1">IFERROR(__xludf.DUMMYFUNCTION("""COMPUTED_VALUE"""),"Data Dashboards in Power BI")</f>
        <v>Data Dashboards in Power BI</v>
      </c>
      <c r="M81" s="152"/>
      <c r="N81" s="144"/>
      <c r="O81" s="144"/>
      <c r="P81" s="144"/>
      <c r="Q81" s="145"/>
      <c r="R81" s="145"/>
      <c r="S81" s="154"/>
      <c r="T81" s="155"/>
      <c r="U81" s="144"/>
      <c r="V81" s="144"/>
    </row>
    <row r="82" spans="1:22" ht="15" x14ac:dyDescent="0.15">
      <c r="A82" s="144"/>
      <c r="B82" s="144"/>
      <c r="C82" s="138"/>
      <c r="D82" s="138"/>
      <c r="E82" s="143"/>
      <c r="F82" s="141"/>
      <c r="G82" s="144"/>
      <c r="H82" s="144"/>
      <c r="I82" s="144"/>
      <c r="J82" s="138">
        <f ca="1">IFERROR(__xludf.DUMMYFUNCTION("""COMPUTED_VALUE"""),2211318)</f>
        <v>2211318</v>
      </c>
      <c r="K82" s="138" t="str">
        <f ca="1">IFERROR(__xludf.DUMMYFUNCTION("""COMPUTED_VALUE"""),"Intermediate")</f>
        <v>Intermediate</v>
      </c>
      <c r="L82" s="139" t="str">
        <f ca="1">IFERROR(__xludf.DUMMYFUNCTION("""COMPUTED_VALUE"""),"Power BI Data Methods")</f>
        <v>Power BI Data Methods</v>
      </c>
      <c r="M82" s="152"/>
      <c r="N82" s="144"/>
      <c r="O82" s="144"/>
      <c r="P82" s="144"/>
      <c r="Q82" s="145"/>
      <c r="R82" s="145"/>
      <c r="S82" s="154"/>
      <c r="T82" s="155"/>
      <c r="U82" s="144"/>
      <c r="V82" s="144"/>
    </row>
    <row r="83" spans="1:22" ht="15" x14ac:dyDescent="0.15">
      <c r="A83" s="144"/>
      <c r="B83" s="144"/>
      <c r="C83" s="138"/>
      <c r="D83" s="138"/>
      <c r="E83" s="143"/>
      <c r="F83" s="141"/>
      <c r="G83" s="144"/>
      <c r="H83" s="144"/>
      <c r="I83" s="144"/>
      <c r="J83" s="138">
        <f ca="1">IFERROR(__xludf.DUMMYFUNCTION("""COMPUTED_VALUE"""),2243053)</f>
        <v>2243053</v>
      </c>
      <c r="K83" s="138" t="str">
        <f ca="1">IFERROR(__xludf.DUMMYFUNCTION("""COMPUTED_VALUE"""),"Intermediate")</f>
        <v>Intermediate</v>
      </c>
      <c r="L83" s="139" t="str">
        <f ca="1">IFERROR(__xludf.DUMMYFUNCTION("""COMPUTED_VALUE"""),"Using Python with Excel")</f>
        <v>Using Python with Excel</v>
      </c>
      <c r="M83" s="152"/>
      <c r="N83" s="144"/>
      <c r="O83" s="144"/>
      <c r="P83" s="144"/>
      <c r="Q83" s="145"/>
      <c r="R83" s="145"/>
      <c r="S83" s="154"/>
      <c r="T83" s="155"/>
      <c r="U83" s="144"/>
      <c r="V83" s="144"/>
    </row>
    <row r="84" spans="1:22" ht="15" x14ac:dyDescent="0.15">
      <c r="A84" s="144"/>
      <c r="B84" s="144"/>
      <c r="C84" s="138"/>
      <c r="D84" s="138"/>
      <c r="E84" s="143"/>
      <c r="F84" s="141"/>
      <c r="G84" s="144"/>
      <c r="H84" s="144"/>
      <c r="I84" s="144"/>
      <c r="J84" s="138">
        <f ca="1">IFERROR(__xludf.DUMMYFUNCTION("""COMPUTED_VALUE"""),2243054)</f>
        <v>2243054</v>
      </c>
      <c r="K84" s="138" t="str">
        <f ca="1">IFERROR(__xludf.DUMMYFUNCTION("""COMPUTED_VALUE"""),"Intermediate")</f>
        <v>Intermediate</v>
      </c>
      <c r="L84" s="139" t="str">
        <f ca="1">IFERROR(__xludf.DUMMYFUNCTION("""COMPUTED_VALUE"""),"Python for Data Visualization")</f>
        <v>Python for Data Visualization</v>
      </c>
      <c r="M84" s="152"/>
      <c r="N84" s="144"/>
      <c r="O84" s="144"/>
      <c r="P84" s="144"/>
      <c r="Q84" s="145"/>
      <c r="R84" s="145"/>
      <c r="S84" s="154"/>
      <c r="T84" s="155"/>
      <c r="U84" s="144"/>
      <c r="V84" s="144"/>
    </row>
    <row r="85" spans="1:22" ht="15" x14ac:dyDescent="0.15">
      <c r="A85" s="144"/>
      <c r="B85" s="144"/>
      <c r="C85" s="138"/>
      <c r="D85" s="138"/>
      <c r="E85" s="143"/>
      <c r="F85" s="141"/>
      <c r="G85" s="144"/>
      <c r="H85" s="144"/>
      <c r="I85" s="144"/>
      <c r="J85" s="138">
        <f ca="1">IFERROR(__xludf.DUMMYFUNCTION("""COMPUTED_VALUE"""),2817027)</f>
        <v>2817027</v>
      </c>
      <c r="K85" s="138" t="str">
        <f ca="1">IFERROR(__xludf.DUMMYFUNCTION("""COMPUTED_VALUE"""),"Intermediate")</f>
        <v>Intermediate</v>
      </c>
      <c r="L85" s="139" t="str">
        <f ca="1">IFERROR(__xludf.DUMMYFUNCTION("""COMPUTED_VALUE"""),"SQL: Data Reporting and Analysis")</f>
        <v>SQL: Data Reporting and Analysis</v>
      </c>
      <c r="M85" s="152"/>
      <c r="N85" s="144"/>
      <c r="O85" s="144"/>
      <c r="P85" s="144"/>
      <c r="Q85" s="145"/>
      <c r="R85" s="145"/>
      <c r="S85" s="154"/>
      <c r="T85" s="155"/>
      <c r="U85" s="144"/>
      <c r="V85" s="144"/>
    </row>
    <row r="86" spans="1:22" ht="15" x14ac:dyDescent="0.15">
      <c r="A86" s="144"/>
      <c r="B86" s="144"/>
      <c r="C86" s="138"/>
      <c r="D86" s="138"/>
      <c r="E86" s="143"/>
      <c r="F86" s="141"/>
      <c r="G86" s="144"/>
      <c r="H86" s="144"/>
      <c r="I86" s="144"/>
      <c r="J86" s="138">
        <f ca="1">IFERROR(__xludf.DUMMYFUNCTION("""COMPUTED_VALUE"""),2819185)</f>
        <v>2819185</v>
      </c>
      <c r="K86" s="138" t="str">
        <f ca="1">IFERROR(__xludf.DUMMYFUNCTION("""COMPUTED_VALUE"""),"Intermediate")</f>
        <v>Intermediate</v>
      </c>
      <c r="L86" s="139" t="str">
        <f ca="1">IFERROR(__xludf.DUMMYFUNCTION("""COMPUTED_VALUE"""),"Power BI Dataflows Essential Training")</f>
        <v>Power BI Dataflows Essential Training</v>
      </c>
      <c r="M86" s="152"/>
      <c r="N86" s="144"/>
      <c r="O86" s="144"/>
      <c r="P86" s="144"/>
      <c r="Q86" s="145"/>
      <c r="R86" s="145"/>
      <c r="S86" s="154"/>
      <c r="T86" s="155"/>
      <c r="U86" s="144"/>
      <c r="V86" s="144"/>
    </row>
    <row r="87" spans="1:22" ht="15" x14ac:dyDescent="0.15">
      <c r="A87" s="144"/>
      <c r="B87" s="144"/>
      <c r="C87" s="138"/>
      <c r="D87" s="138"/>
      <c r="E87" s="143"/>
      <c r="F87" s="141"/>
      <c r="G87" s="144"/>
      <c r="H87" s="144"/>
      <c r="I87" s="144"/>
      <c r="J87" s="138">
        <f ca="1">IFERROR(__xludf.DUMMYFUNCTION("""COMPUTED_VALUE"""),2823043)</f>
        <v>2823043</v>
      </c>
      <c r="K87" s="138" t="str">
        <f ca="1">IFERROR(__xludf.DUMMYFUNCTION("""COMPUTED_VALUE"""),"Intermediate")</f>
        <v>Intermediate</v>
      </c>
      <c r="L87" s="139" t="str">
        <f ca="1">IFERROR(__xludf.DUMMYFUNCTION("""COMPUTED_VALUE"""),"SAP ERP: Beyond the Basics")</f>
        <v>SAP ERP: Beyond the Basics</v>
      </c>
      <c r="M87" s="152"/>
      <c r="N87" s="144"/>
      <c r="O87" s="144"/>
      <c r="P87" s="144"/>
      <c r="Q87" s="145"/>
      <c r="R87" s="145"/>
      <c r="S87" s="154"/>
      <c r="T87" s="155"/>
      <c r="U87" s="144"/>
      <c r="V87" s="144"/>
    </row>
    <row r="88" spans="1:22" ht="15" x14ac:dyDescent="0.15">
      <c r="A88" s="144"/>
      <c r="B88" s="144"/>
      <c r="C88" s="138"/>
      <c r="D88" s="138"/>
      <c r="E88" s="143"/>
      <c r="F88" s="141"/>
      <c r="G88" s="144"/>
      <c r="H88" s="144"/>
      <c r="I88" s="144"/>
      <c r="J88" s="138">
        <f ca="1">IFERROR(__xludf.DUMMYFUNCTION("""COMPUTED_VALUE"""),2823072)</f>
        <v>2823072</v>
      </c>
      <c r="K88" s="138" t="str">
        <f ca="1">IFERROR(__xludf.DUMMYFUNCTION("""COMPUTED_VALUE"""),"Intermediate")</f>
        <v>Intermediate</v>
      </c>
      <c r="L88" s="139" t="str">
        <f ca="1">IFERROR(__xludf.DUMMYFUNCTION("""COMPUTED_VALUE"""),"Tableau and R for Analytics Projects")</f>
        <v>Tableau and R for Analytics Projects</v>
      </c>
      <c r="M88" s="152"/>
      <c r="N88" s="144"/>
      <c r="O88" s="144"/>
      <c r="P88" s="144"/>
      <c r="Q88" s="145"/>
      <c r="R88" s="145"/>
      <c r="S88" s="154"/>
      <c r="T88" s="155"/>
      <c r="U88" s="144"/>
      <c r="V88" s="144"/>
    </row>
    <row r="89" spans="1:22" ht="15" x14ac:dyDescent="0.15">
      <c r="A89" s="144"/>
      <c r="B89" s="144"/>
      <c r="C89" s="138"/>
      <c r="D89" s="138"/>
      <c r="E89" s="143"/>
      <c r="F89" s="141"/>
      <c r="G89" s="144"/>
      <c r="H89" s="144"/>
      <c r="I89" s="144"/>
      <c r="J89" s="138">
        <f ca="1">IFERROR(__xludf.DUMMYFUNCTION("""COMPUTED_VALUE"""),2823097)</f>
        <v>2823097</v>
      </c>
      <c r="K89" s="138" t="str">
        <f ca="1">IFERROR(__xludf.DUMMYFUNCTION("""COMPUTED_VALUE"""),"Intermediate")</f>
        <v>Intermediate</v>
      </c>
      <c r="L89" s="139" t="str">
        <f ca="1">IFERROR(__xludf.DUMMYFUNCTION("""COMPUTED_VALUE"""),"ABAP for SAP Users")</f>
        <v>ABAP for SAP Users</v>
      </c>
      <c r="M89" s="152"/>
      <c r="N89" s="144"/>
      <c r="O89" s="144"/>
      <c r="P89" s="144"/>
      <c r="Q89" s="145"/>
      <c r="R89" s="145"/>
      <c r="S89" s="154"/>
      <c r="T89" s="155"/>
      <c r="U89" s="144"/>
      <c r="V89" s="144"/>
    </row>
    <row r="90" spans="1:22" ht="15" x14ac:dyDescent="0.15">
      <c r="A90" s="144"/>
      <c r="B90" s="144"/>
      <c r="C90" s="138"/>
      <c r="D90" s="138"/>
      <c r="E90" s="143"/>
      <c r="F90" s="141"/>
      <c r="G90" s="144"/>
      <c r="H90" s="144"/>
      <c r="I90" s="144"/>
      <c r="J90" s="138">
        <f ca="1">IFERROR(__xludf.DUMMYFUNCTION("""COMPUTED_VALUE"""),2823098)</f>
        <v>2823098</v>
      </c>
      <c r="K90" s="138" t="str">
        <f ca="1">IFERROR(__xludf.DUMMYFUNCTION("""COMPUTED_VALUE"""),"Intermediate")</f>
        <v>Intermediate</v>
      </c>
      <c r="L90" s="139" t="str">
        <f ca="1">IFERROR(__xludf.DUMMYFUNCTION("""COMPUTED_VALUE"""),"Review and Manage the SAP MRP List")</f>
        <v>Review and Manage the SAP MRP List</v>
      </c>
      <c r="M90" s="152"/>
      <c r="N90" s="144"/>
      <c r="O90" s="144"/>
      <c r="P90" s="144"/>
      <c r="Q90" s="145"/>
      <c r="R90" s="145"/>
      <c r="S90" s="154"/>
      <c r="T90" s="155"/>
      <c r="U90" s="144"/>
      <c r="V90" s="144"/>
    </row>
    <row r="91" spans="1:22" ht="15" x14ac:dyDescent="0.15">
      <c r="A91" s="144"/>
      <c r="B91" s="144"/>
      <c r="C91" s="138"/>
      <c r="D91" s="138"/>
      <c r="E91" s="143"/>
      <c r="F91" s="141"/>
      <c r="G91" s="144"/>
      <c r="H91" s="144"/>
      <c r="I91" s="144"/>
      <c r="J91" s="138">
        <f ca="1">IFERROR(__xludf.DUMMYFUNCTION("""COMPUTED_VALUE"""),5019812)</f>
        <v>5019812</v>
      </c>
      <c r="K91" s="138" t="str">
        <f ca="1">IFERROR(__xludf.DUMMYFUNCTION("""COMPUTED_VALUE"""),"Intermediate")</f>
        <v>Intermediate</v>
      </c>
      <c r="L91" s="139" t="str">
        <f ca="1">IFERROR(__xludf.DUMMYFUNCTION("""COMPUTED_VALUE"""),"AI in Business Essential Training")</f>
        <v>AI in Business Essential Training</v>
      </c>
      <c r="M91" s="152"/>
      <c r="N91" s="144"/>
      <c r="O91" s="144"/>
      <c r="P91" s="144"/>
      <c r="Q91" s="145"/>
      <c r="R91" s="145"/>
      <c r="S91" s="154"/>
      <c r="T91" s="155"/>
      <c r="U91" s="144"/>
      <c r="V91" s="144"/>
    </row>
    <row r="92" spans="1:22" ht="15" x14ac:dyDescent="0.15">
      <c r="A92" s="144"/>
      <c r="B92" s="144"/>
      <c r="C92" s="138"/>
      <c r="D92" s="138"/>
      <c r="E92" s="143"/>
      <c r="F92" s="141"/>
      <c r="G92" s="144"/>
      <c r="H92" s="144"/>
      <c r="I92" s="144"/>
      <c r="J92" s="138">
        <f ca="1">IFERROR(__xludf.DUMMYFUNCTION("""COMPUTED_VALUE"""),5019813)</f>
        <v>5019813</v>
      </c>
      <c r="K92" s="138" t="str">
        <f ca="1">IFERROR(__xludf.DUMMYFUNCTION("""COMPUTED_VALUE"""),"Intermediate")</f>
        <v>Intermediate</v>
      </c>
      <c r="L92" s="139" t="str">
        <f ca="1">IFERROR(__xludf.DUMMYFUNCTION("""COMPUTED_VALUE"""),"AI in Fintech Essential Training")</f>
        <v>AI in Fintech Essential Training</v>
      </c>
      <c r="M92" s="152"/>
      <c r="N92" s="144"/>
      <c r="O92" s="144"/>
      <c r="P92" s="144"/>
      <c r="Q92" s="145"/>
      <c r="R92" s="145"/>
      <c r="S92" s="154"/>
      <c r="T92" s="155"/>
      <c r="U92" s="144"/>
      <c r="V92" s="144"/>
    </row>
    <row r="93" spans="1:22" ht="30" x14ac:dyDescent="0.15">
      <c r="A93" s="144"/>
      <c r="B93" s="144"/>
      <c r="C93" s="145"/>
      <c r="D93" s="145"/>
      <c r="E93" s="148"/>
      <c r="F93" s="147"/>
      <c r="G93" s="144"/>
      <c r="H93" s="144"/>
      <c r="I93" s="144"/>
      <c r="J93" s="145">
        <f ca="1">IFERROR(__xludf.DUMMYFUNCTION("""COMPUTED_VALUE"""),2823564)</f>
        <v>2823564</v>
      </c>
      <c r="K93" s="145" t="str">
        <f ca="1">IFERROR(__xludf.DUMMYFUNCTION("""COMPUTED_VALUE"""),"Intermediate")</f>
        <v>Intermediate</v>
      </c>
      <c r="L93" s="146" t="str">
        <f ca="1">IFERROR(__xludf.DUMMYFUNCTION("""COMPUTED_VALUE"""),"Excel: Avoiding Common Mistakes (Office 365/Excel 2019)")</f>
        <v>Excel: Avoiding Common Mistakes (Office 365/Excel 2019)</v>
      </c>
      <c r="M93" s="155"/>
      <c r="N93" s="144"/>
      <c r="O93" s="144"/>
      <c r="P93" s="144"/>
      <c r="Q93" s="145"/>
      <c r="R93" s="145"/>
      <c r="S93" s="154"/>
      <c r="T93" s="155"/>
      <c r="U93" s="144"/>
      <c r="V93" s="144"/>
    </row>
    <row r="94" spans="1:22" ht="30" x14ac:dyDescent="0.15">
      <c r="A94" s="144"/>
      <c r="B94" s="144"/>
      <c r="C94" s="145"/>
      <c r="D94" s="145"/>
      <c r="E94" s="148"/>
      <c r="F94" s="147"/>
      <c r="G94" s="144"/>
      <c r="H94" s="144"/>
      <c r="I94" s="144"/>
      <c r="J94" s="145">
        <f ca="1">IFERROR(__xludf.DUMMYFUNCTION("""COMPUTED_VALUE"""),2817226)</f>
        <v>2817226</v>
      </c>
      <c r="K94" s="145" t="str">
        <f ca="1">IFERROR(__xludf.DUMMYFUNCTION("""COMPUTED_VALUE"""),"Intermediate")</f>
        <v>Intermediate</v>
      </c>
      <c r="L94" s="146" t="str">
        <f ca="1">IFERROR(__xludf.DUMMYFUNCTION("""COMPUTED_VALUE"""),"The Data Science of Experimental Design")</f>
        <v>The Data Science of Experimental Design</v>
      </c>
      <c r="M94" s="155"/>
      <c r="N94" s="144"/>
      <c r="O94" s="144"/>
      <c r="P94" s="144"/>
      <c r="Q94" s="145"/>
      <c r="R94" s="145"/>
      <c r="S94" s="154"/>
      <c r="T94" s="155"/>
      <c r="U94" s="144"/>
      <c r="V94" s="144"/>
    </row>
    <row r="95" spans="1:22" ht="30" x14ac:dyDescent="0.15">
      <c r="A95" s="144"/>
      <c r="B95" s="144"/>
      <c r="C95" s="145"/>
      <c r="D95" s="145"/>
      <c r="E95" s="148"/>
      <c r="F95" s="147"/>
      <c r="G95" s="144"/>
      <c r="H95" s="144"/>
      <c r="I95" s="144"/>
      <c r="J95" s="145">
        <f ca="1">IFERROR(__xludf.DUMMYFUNCTION("""COMPUTED_VALUE"""),2822461)</f>
        <v>2822461</v>
      </c>
      <c r="K95" s="145" t="str">
        <f ca="1">IFERROR(__xludf.DUMMYFUNCTION("""COMPUTED_VALUE"""),"Intermediate")</f>
        <v>Intermediate</v>
      </c>
      <c r="L95" s="146" t="str">
        <f ca="1">IFERROR(__xludf.DUMMYFUNCTION("""COMPUTED_VALUE"""),"Side Hustle Strategies for Data Science and Analytics Experts")</f>
        <v>Side Hustle Strategies for Data Science and Analytics Experts</v>
      </c>
      <c r="M95" s="155"/>
      <c r="N95" s="144"/>
      <c r="O95" s="144"/>
      <c r="P95" s="144"/>
      <c r="Q95" s="145"/>
      <c r="R95" s="145"/>
      <c r="S95" s="154"/>
      <c r="T95" s="155"/>
      <c r="U95" s="144"/>
      <c r="V95" s="144"/>
    </row>
    <row r="96" spans="1:22" ht="15" x14ac:dyDescent="0.15">
      <c r="A96" s="144"/>
      <c r="B96" s="144"/>
      <c r="C96" s="145"/>
      <c r="D96" s="145"/>
      <c r="E96" s="148"/>
      <c r="F96" s="147"/>
      <c r="G96" s="144"/>
      <c r="H96" s="144"/>
      <c r="I96" s="144"/>
      <c r="J96" s="145">
        <f ca="1">IFERROR(__xludf.DUMMYFUNCTION("""COMPUTED_VALUE"""),2828018)</f>
        <v>2828018</v>
      </c>
      <c r="K96" s="145" t="str">
        <f ca="1">IFERROR(__xludf.DUMMYFUNCTION("""COMPUTED_VALUE"""),"Intermediate")</f>
        <v>Intermediate</v>
      </c>
      <c r="L96" s="146" t="str">
        <f ca="1">IFERROR(__xludf.DUMMYFUNCTION("""COMPUTED_VALUE"""),"PostgreSQL Essential Training")</f>
        <v>PostgreSQL Essential Training</v>
      </c>
      <c r="M96" s="155"/>
      <c r="N96" s="144"/>
      <c r="O96" s="144"/>
      <c r="P96" s="144"/>
      <c r="Q96" s="145"/>
      <c r="R96" s="145"/>
      <c r="S96" s="154"/>
      <c r="T96" s="155"/>
      <c r="U96" s="144"/>
      <c r="V96" s="144"/>
    </row>
    <row r="97" spans="1:22" ht="30" x14ac:dyDescent="0.15">
      <c r="A97" s="144"/>
      <c r="B97" s="144"/>
      <c r="C97" s="145"/>
      <c r="D97" s="145"/>
      <c r="E97" s="148"/>
      <c r="F97" s="147"/>
      <c r="G97" s="144"/>
      <c r="H97" s="144"/>
      <c r="I97" s="144"/>
      <c r="J97" s="145">
        <f ca="1">IFERROR(__xludf.DUMMYFUNCTION("""COMPUTED_VALUE"""),2825746)</f>
        <v>2825746</v>
      </c>
      <c r="K97" s="145" t="str">
        <f ca="1">IFERROR(__xludf.DUMMYFUNCTION("""COMPUTED_VALUE"""),"Intermediate")</f>
        <v>Intermediate</v>
      </c>
      <c r="L97" s="146" t="str">
        <f ca="1">IFERROR(__xludf.DUMMYFUNCTION("""COMPUTED_VALUE"""),"Data Visualization for Data Analysis and Analytics")</f>
        <v>Data Visualization for Data Analysis and Analytics</v>
      </c>
      <c r="M97" s="155"/>
      <c r="N97" s="144"/>
      <c r="O97" s="144"/>
      <c r="P97" s="144"/>
      <c r="Q97" s="145"/>
      <c r="R97" s="145"/>
      <c r="S97" s="154"/>
      <c r="T97" s="155"/>
      <c r="U97" s="144"/>
      <c r="V97" s="144"/>
    </row>
    <row r="98" spans="1:22" ht="14" x14ac:dyDescent="0.15">
      <c r="A98" s="144"/>
      <c r="B98" s="144"/>
      <c r="C98" s="145"/>
      <c r="D98" s="145"/>
      <c r="E98" s="148"/>
      <c r="F98" s="147"/>
      <c r="G98" s="144"/>
      <c r="H98" s="144"/>
      <c r="I98" s="144"/>
      <c r="J98" s="145"/>
      <c r="K98" s="145"/>
      <c r="L98" s="148"/>
      <c r="M98" s="155"/>
      <c r="N98" s="144"/>
      <c r="O98" s="144"/>
      <c r="P98" s="144"/>
      <c r="Q98" s="145"/>
      <c r="R98" s="145"/>
      <c r="S98" s="154"/>
      <c r="T98" s="155"/>
      <c r="U98" s="144"/>
      <c r="V98" s="144"/>
    </row>
    <row r="99" spans="1:22" ht="14" x14ac:dyDescent="0.15">
      <c r="A99" s="144"/>
      <c r="B99" s="144"/>
      <c r="C99" s="145"/>
      <c r="D99" s="145"/>
      <c r="E99" s="148"/>
      <c r="F99" s="147"/>
      <c r="G99" s="144"/>
      <c r="H99" s="144"/>
      <c r="I99" s="144"/>
      <c r="J99" s="145"/>
      <c r="K99" s="145"/>
      <c r="L99" s="148"/>
      <c r="M99" s="155"/>
      <c r="N99" s="144"/>
      <c r="O99" s="144"/>
      <c r="P99" s="144"/>
      <c r="Q99" s="145"/>
      <c r="R99" s="145"/>
      <c r="S99" s="154"/>
      <c r="T99" s="155"/>
      <c r="U99" s="144"/>
      <c r="V99" s="144"/>
    </row>
    <row r="100" spans="1:22" ht="14" x14ac:dyDescent="0.15">
      <c r="A100" s="144"/>
      <c r="B100" s="144"/>
      <c r="C100" s="145"/>
      <c r="D100" s="145"/>
      <c r="E100" s="148"/>
      <c r="F100" s="147"/>
      <c r="G100" s="144"/>
      <c r="H100" s="144"/>
      <c r="I100" s="144"/>
      <c r="J100" s="145"/>
      <c r="K100" s="145"/>
      <c r="L100" s="148"/>
      <c r="M100" s="155"/>
      <c r="N100" s="144"/>
      <c r="O100" s="144"/>
      <c r="P100" s="144"/>
      <c r="Q100" s="145"/>
      <c r="R100" s="145"/>
      <c r="S100" s="154"/>
      <c r="T100" s="155"/>
      <c r="U100" s="144"/>
      <c r="V100" s="144"/>
    </row>
    <row r="101" spans="1:22" ht="14" x14ac:dyDescent="0.15">
      <c r="A101" s="144"/>
      <c r="B101" s="144"/>
      <c r="C101" s="145"/>
      <c r="D101" s="145"/>
      <c r="E101" s="148"/>
      <c r="F101" s="147"/>
      <c r="G101" s="144"/>
      <c r="H101" s="144"/>
      <c r="I101" s="144"/>
      <c r="J101" s="145"/>
      <c r="K101" s="145"/>
      <c r="L101" s="148"/>
      <c r="M101" s="155"/>
      <c r="N101" s="144"/>
      <c r="O101" s="144"/>
      <c r="P101" s="144"/>
      <c r="Q101" s="145"/>
      <c r="R101" s="145"/>
      <c r="S101" s="154"/>
      <c r="T101" s="155"/>
      <c r="U101" s="144"/>
      <c r="V101" s="144"/>
    </row>
    <row r="102" spans="1:22" ht="14" x14ac:dyDescent="0.15">
      <c r="A102" s="144"/>
      <c r="B102" s="144"/>
      <c r="C102" s="145"/>
      <c r="D102" s="145"/>
      <c r="E102" s="148"/>
      <c r="F102" s="147"/>
      <c r="G102" s="144"/>
      <c r="H102" s="144"/>
      <c r="I102" s="144"/>
      <c r="J102" s="145"/>
      <c r="K102" s="145"/>
      <c r="L102" s="148"/>
      <c r="M102" s="155"/>
      <c r="N102" s="144"/>
      <c r="O102" s="144"/>
      <c r="P102" s="144"/>
      <c r="Q102" s="145"/>
      <c r="R102" s="145"/>
      <c r="S102" s="154"/>
      <c r="T102" s="155"/>
      <c r="U102" s="144"/>
      <c r="V102" s="144"/>
    </row>
    <row r="103" spans="1:22" ht="14" x14ac:dyDescent="0.15">
      <c r="A103" s="144"/>
      <c r="B103" s="144"/>
      <c r="C103" s="145"/>
      <c r="D103" s="145"/>
      <c r="E103" s="148"/>
      <c r="F103" s="147"/>
      <c r="G103" s="144"/>
      <c r="H103" s="144"/>
      <c r="I103" s="144"/>
      <c r="J103" s="145"/>
      <c r="K103" s="145"/>
      <c r="L103" s="148"/>
      <c r="M103" s="155"/>
      <c r="N103" s="144"/>
      <c r="O103" s="144"/>
      <c r="P103" s="144"/>
      <c r="Q103" s="145"/>
      <c r="R103" s="145"/>
      <c r="S103" s="154"/>
      <c r="T103" s="155"/>
      <c r="U103" s="144"/>
      <c r="V103" s="144"/>
    </row>
    <row r="104" spans="1:22" ht="14" x14ac:dyDescent="0.15">
      <c r="A104" s="144"/>
      <c r="B104" s="144"/>
      <c r="C104" s="145"/>
      <c r="D104" s="145"/>
      <c r="E104" s="148"/>
      <c r="F104" s="147"/>
      <c r="G104" s="144"/>
      <c r="H104" s="144"/>
      <c r="I104" s="144"/>
      <c r="J104" s="145"/>
      <c r="K104" s="145"/>
      <c r="L104" s="148"/>
      <c r="M104" s="155"/>
      <c r="N104" s="144"/>
      <c r="O104" s="144"/>
      <c r="P104" s="144"/>
      <c r="Q104" s="145"/>
      <c r="R104" s="145"/>
      <c r="S104" s="154"/>
      <c r="T104" s="155"/>
      <c r="U104" s="144"/>
      <c r="V104" s="144"/>
    </row>
    <row r="105" spans="1:22" ht="14" x14ac:dyDescent="0.15">
      <c r="A105" s="144"/>
      <c r="B105" s="144"/>
      <c r="C105" s="145"/>
      <c r="D105" s="145"/>
      <c r="E105" s="148"/>
      <c r="F105" s="147"/>
      <c r="G105" s="144"/>
      <c r="H105" s="144"/>
      <c r="I105" s="144"/>
      <c r="J105" s="145"/>
      <c r="K105" s="145"/>
      <c r="L105" s="148"/>
      <c r="M105" s="155"/>
      <c r="N105" s="144"/>
      <c r="O105" s="144"/>
      <c r="P105" s="144"/>
      <c r="Q105" s="145"/>
      <c r="R105" s="145"/>
      <c r="S105" s="154"/>
      <c r="T105" s="155"/>
      <c r="U105" s="144"/>
      <c r="V105" s="144"/>
    </row>
    <row r="106" spans="1:22" ht="14" x14ac:dyDescent="0.15">
      <c r="A106" s="144"/>
      <c r="B106" s="144"/>
      <c r="C106" s="145"/>
      <c r="D106" s="145"/>
      <c r="E106" s="148"/>
      <c r="F106" s="147"/>
      <c r="G106" s="144"/>
      <c r="H106" s="144"/>
      <c r="I106" s="144"/>
      <c r="J106" s="145"/>
      <c r="K106" s="145"/>
      <c r="L106" s="148"/>
      <c r="M106" s="155"/>
      <c r="N106" s="144"/>
      <c r="O106" s="144"/>
      <c r="P106" s="144"/>
      <c r="Q106" s="145"/>
      <c r="R106" s="145"/>
      <c r="S106" s="154"/>
      <c r="T106" s="155"/>
      <c r="U106" s="144"/>
      <c r="V106" s="144"/>
    </row>
    <row r="107" spans="1:22" ht="14" x14ac:dyDescent="0.15">
      <c r="A107" s="144"/>
      <c r="B107" s="144"/>
      <c r="C107" s="145"/>
      <c r="D107" s="145"/>
      <c r="E107" s="148"/>
      <c r="F107" s="147"/>
      <c r="G107" s="144"/>
      <c r="H107" s="144"/>
      <c r="I107" s="144"/>
      <c r="J107" s="145"/>
      <c r="K107" s="145"/>
      <c r="L107" s="148"/>
      <c r="M107" s="155"/>
      <c r="N107" s="144"/>
      <c r="O107" s="144"/>
      <c r="P107" s="144"/>
      <c r="Q107" s="145"/>
      <c r="R107" s="145"/>
      <c r="S107" s="154"/>
      <c r="T107" s="155"/>
      <c r="U107" s="144"/>
      <c r="V107" s="144"/>
    </row>
    <row r="108" spans="1:22" ht="14" x14ac:dyDescent="0.15">
      <c r="A108" s="144"/>
      <c r="B108" s="144"/>
      <c r="C108" s="145"/>
      <c r="D108" s="145"/>
      <c r="E108" s="148"/>
      <c r="F108" s="147"/>
      <c r="G108" s="144"/>
      <c r="H108" s="144"/>
      <c r="I108" s="144"/>
      <c r="J108" s="145"/>
      <c r="K108" s="145"/>
      <c r="L108" s="148"/>
      <c r="M108" s="155"/>
      <c r="N108" s="144"/>
      <c r="O108" s="144"/>
      <c r="P108" s="144"/>
      <c r="Q108" s="145"/>
      <c r="R108" s="145"/>
      <c r="S108" s="154"/>
      <c r="T108" s="155"/>
      <c r="U108" s="144"/>
      <c r="V108" s="144"/>
    </row>
    <row r="109" spans="1:22" ht="14" x14ac:dyDescent="0.15">
      <c r="A109" s="144"/>
      <c r="B109" s="144"/>
      <c r="C109" s="145"/>
      <c r="D109" s="145"/>
      <c r="E109" s="148"/>
      <c r="F109" s="147"/>
      <c r="G109" s="144"/>
      <c r="H109" s="144"/>
      <c r="I109" s="144"/>
      <c r="J109" s="145"/>
      <c r="K109" s="145"/>
      <c r="L109" s="148"/>
      <c r="M109" s="155"/>
      <c r="N109" s="144"/>
      <c r="O109" s="144"/>
      <c r="P109" s="144"/>
      <c r="Q109" s="145"/>
      <c r="R109" s="145"/>
      <c r="S109" s="154"/>
      <c r="T109" s="155"/>
      <c r="U109" s="144"/>
      <c r="V109" s="144"/>
    </row>
    <row r="110" spans="1:22" ht="14" x14ac:dyDescent="0.15">
      <c r="A110" s="144"/>
      <c r="B110" s="144"/>
      <c r="C110" s="145"/>
      <c r="D110" s="145"/>
      <c r="E110" s="148"/>
      <c r="F110" s="147"/>
      <c r="G110" s="144"/>
      <c r="H110" s="144"/>
      <c r="I110" s="144"/>
      <c r="J110" s="145"/>
      <c r="K110" s="145"/>
      <c r="L110" s="148"/>
      <c r="M110" s="155"/>
      <c r="N110" s="144"/>
      <c r="O110" s="144"/>
      <c r="P110" s="144"/>
      <c r="Q110" s="145"/>
      <c r="R110" s="145"/>
      <c r="S110" s="154"/>
      <c r="T110" s="155"/>
      <c r="U110" s="144"/>
      <c r="V110" s="144"/>
    </row>
    <row r="111" spans="1:22" ht="14" x14ac:dyDescent="0.15">
      <c r="A111" s="144"/>
      <c r="B111" s="144"/>
      <c r="C111" s="145"/>
      <c r="D111" s="145"/>
      <c r="E111" s="148"/>
      <c r="F111" s="147"/>
      <c r="G111" s="144"/>
      <c r="H111" s="144"/>
      <c r="I111" s="144"/>
      <c r="J111" s="145"/>
      <c r="K111" s="145"/>
      <c r="L111" s="148"/>
      <c r="M111" s="155"/>
      <c r="N111" s="144"/>
      <c r="O111" s="144"/>
      <c r="P111" s="144"/>
      <c r="Q111" s="145"/>
      <c r="R111" s="145"/>
      <c r="S111" s="154"/>
      <c r="T111" s="155"/>
      <c r="U111" s="144"/>
      <c r="V111" s="144"/>
    </row>
    <row r="112" spans="1:22" ht="14" x14ac:dyDescent="0.15">
      <c r="A112" s="144"/>
      <c r="B112" s="144"/>
      <c r="C112" s="145"/>
      <c r="D112" s="145"/>
      <c r="E112" s="148"/>
      <c r="F112" s="147"/>
      <c r="G112" s="144"/>
      <c r="H112" s="144"/>
      <c r="I112" s="144"/>
      <c r="J112" s="145"/>
      <c r="K112" s="145"/>
      <c r="L112" s="148"/>
      <c r="M112" s="155"/>
      <c r="N112" s="144"/>
      <c r="O112" s="144"/>
      <c r="P112" s="144"/>
      <c r="Q112" s="145"/>
      <c r="R112" s="145"/>
      <c r="S112" s="154"/>
      <c r="T112" s="155"/>
      <c r="U112" s="144"/>
      <c r="V112" s="144"/>
    </row>
    <row r="113" spans="1:22" ht="14" x14ac:dyDescent="0.15">
      <c r="A113" s="144"/>
      <c r="B113" s="144"/>
      <c r="C113" s="145"/>
      <c r="D113" s="145"/>
      <c r="E113" s="148"/>
      <c r="F113" s="147"/>
      <c r="G113" s="144"/>
      <c r="H113" s="144"/>
      <c r="I113" s="144"/>
      <c r="J113" s="145"/>
      <c r="K113" s="145"/>
      <c r="L113" s="148"/>
      <c r="M113" s="155"/>
      <c r="N113" s="144"/>
      <c r="O113" s="144"/>
      <c r="P113" s="144"/>
      <c r="Q113" s="145"/>
      <c r="R113" s="145"/>
      <c r="S113" s="154"/>
      <c r="T113" s="155"/>
      <c r="U113" s="144"/>
      <c r="V113" s="144"/>
    </row>
    <row r="114" spans="1:22" ht="14" x14ac:dyDescent="0.15">
      <c r="A114" s="144"/>
      <c r="B114" s="144"/>
      <c r="C114" s="145"/>
      <c r="D114" s="145"/>
      <c r="E114" s="148"/>
      <c r="F114" s="147"/>
      <c r="G114" s="144"/>
      <c r="H114" s="144"/>
      <c r="I114" s="144"/>
      <c r="J114" s="145"/>
      <c r="K114" s="145"/>
      <c r="L114" s="148"/>
      <c r="M114" s="155"/>
      <c r="N114" s="144"/>
      <c r="O114" s="144"/>
      <c r="P114" s="144"/>
      <c r="Q114" s="145"/>
      <c r="R114" s="145"/>
      <c r="S114" s="154"/>
      <c r="T114" s="155"/>
      <c r="U114" s="144"/>
      <c r="V114" s="144"/>
    </row>
    <row r="115" spans="1:22" ht="14" x14ac:dyDescent="0.15">
      <c r="A115" s="144"/>
      <c r="B115" s="144"/>
      <c r="C115" s="145"/>
      <c r="D115" s="145"/>
      <c r="E115" s="148"/>
      <c r="F115" s="147"/>
      <c r="G115" s="144"/>
      <c r="H115" s="144"/>
      <c r="I115" s="144"/>
      <c r="J115" s="145"/>
      <c r="K115" s="145"/>
      <c r="L115" s="148"/>
      <c r="M115" s="155"/>
      <c r="N115" s="144"/>
      <c r="O115" s="144"/>
      <c r="P115" s="144"/>
      <c r="Q115" s="145"/>
      <c r="R115" s="145"/>
      <c r="S115" s="154"/>
      <c r="T115" s="155"/>
      <c r="U115" s="144"/>
      <c r="V115" s="144"/>
    </row>
    <row r="116" spans="1:22" ht="14" x14ac:dyDescent="0.15">
      <c r="A116" s="144"/>
      <c r="B116" s="144"/>
      <c r="C116" s="145"/>
      <c r="D116" s="145"/>
      <c r="E116" s="148"/>
      <c r="F116" s="147"/>
      <c r="G116" s="144"/>
      <c r="H116" s="144"/>
      <c r="I116" s="144"/>
      <c r="J116" s="145"/>
      <c r="K116" s="145"/>
      <c r="L116" s="148"/>
      <c r="M116" s="155"/>
      <c r="N116" s="144"/>
      <c r="O116" s="144"/>
      <c r="P116" s="144"/>
      <c r="Q116" s="145"/>
      <c r="R116" s="145"/>
      <c r="S116" s="154"/>
      <c r="T116" s="155"/>
      <c r="U116" s="144"/>
      <c r="V116" s="144"/>
    </row>
    <row r="117" spans="1:22" ht="14" x14ac:dyDescent="0.15">
      <c r="A117" s="144"/>
      <c r="B117" s="144"/>
      <c r="C117" s="145"/>
      <c r="D117" s="145"/>
      <c r="E117" s="148"/>
      <c r="F117" s="147"/>
      <c r="G117" s="144"/>
      <c r="H117" s="144"/>
      <c r="I117" s="144"/>
      <c r="J117" s="145"/>
      <c r="K117" s="145"/>
      <c r="L117" s="148"/>
      <c r="M117" s="155"/>
      <c r="N117" s="144"/>
      <c r="O117" s="144"/>
      <c r="P117" s="144"/>
      <c r="Q117" s="145"/>
      <c r="R117" s="145"/>
      <c r="S117" s="154"/>
      <c r="T117" s="155"/>
      <c r="U117" s="144"/>
      <c r="V117" s="144"/>
    </row>
    <row r="118" spans="1:22" ht="14" x14ac:dyDescent="0.15">
      <c r="A118" s="144"/>
      <c r="B118" s="144"/>
      <c r="C118" s="145"/>
      <c r="D118" s="145"/>
      <c r="E118" s="148"/>
      <c r="F118" s="147"/>
      <c r="G118" s="144"/>
      <c r="H118" s="144"/>
      <c r="I118" s="144"/>
      <c r="J118" s="145"/>
      <c r="K118" s="145"/>
      <c r="L118" s="148"/>
      <c r="M118" s="155"/>
      <c r="N118" s="144"/>
      <c r="O118" s="144"/>
      <c r="P118" s="144"/>
      <c r="Q118" s="145"/>
      <c r="R118" s="145"/>
      <c r="S118" s="154"/>
      <c r="T118" s="155"/>
      <c r="U118" s="144"/>
      <c r="V118" s="144"/>
    </row>
    <row r="119" spans="1:22" ht="14" x14ac:dyDescent="0.15">
      <c r="A119" s="144"/>
      <c r="B119" s="144"/>
      <c r="C119" s="145"/>
      <c r="D119" s="145"/>
      <c r="E119" s="148"/>
      <c r="F119" s="147"/>
      <c r="G119" s="144"/>
      <c r="H119" s="144"/>
      <c r="I119" s="144"/>
      <c r="J119" s="145"/>
      <c r="K119" s="145"/>
      <c r="L119" s="148"/>
      <c r="M119" s="155"/>
      <c r="N119" s="144"/>
      <c r="O119" s="144"/>
      <c r="P119" s="144"/>
      <c r="Q119" s="145"/>
      <c r="R119" s="145"/>
      <c r="S119" s="154"/>
      <c r="T119" s="155"/>
      <c r="U119" s="144"/>
      <c r="V119" s="144"/>
    </row>
    <row r="120" spans="1:22" ht="14" x14ac:dyDescent="0.15">
      <c r="A120" s="144"/>
      <c r="B120" s="144"/>
      <c r="C120" s="145"/>
      <c r="D120" s="145"/>
      <c r="E120" s="148"/>
      <c r="F120" s="147"/>
      <c r="G120" s="144"/>
      <c r="H120" s="144"/>
      <c r="I120" s="144"/>
      <c r="J120" s="145"/>
      <c r="K120" s="145"/>
      <c r="L120" s="148"/>
      <c r="M120" s="155"/>
      <c r="N120" s="144"/>
      <c r="O120" s="144"/>
      <c r="P120" s="144"/>
      <c r="Q120" s="145"/>
      <c r="R120" s="145"/>
      <c r="S120" s="154"/>
      <c r="T120" s="155"/>
      <c r="U120" s="144"/>
      <c r="V120" s="144"/>
    </row>
    <row r="121" spans="1:22" ht="14" x14ac:dyDescent="0.15">
      <c r="A121" s="144"/>
      <c r="B121" s="144"/>
      <c r="C121" s="145"/>
      <c r="D121" s="145"/>
      <c r="E121" s="148"/>
      <c r="F121" s="147"/>
      <c r="G121" s="144"/>
      <c r="H121" s="144"/>
      <c r="I121" s="144"/>
      <c r="J121" s="145"/>
      <c r="K121" s="145"/>
      <c r="L121" s="148"/>
      <c r="M121" s="155"/>
      <c r="N121" s="144"/>
      <c r="O121" s="144"/>
      <c r="P121" s="144"/>
      <c r="Q121" s="145"/>
      <c r="R121" s="145"/>
      <c r="S121" s="154"/>
      <c r="T121" s="155"/>
      <c r="U121" s="144"/>
      <c r="V121" s="144"/>
    </row>
    <row r="122" spans="1:22" ht="14" x14ac:dyDescent="0.15">
      <c r="A122" s="144"/>
      <c r="B122" s="144"/>
      <c r="C122" s="145"/>
      <c r="D122" s="145"/>
      <c r="E122" s="148"/>
      <c r="F122" s="147"/>
      <c r="G122" s="144"/>
      <c r="H122" s="144"/>
      <c r="I122" s="144"/>
      <c r="J122" s="145"/>
      <c r="K122" s="145"/>
      <c r="L122" s="148"/>
      <c r="M122" s="155"/>
      <c r="N122" s="144"/>
      <c r="O122" s="144"/>
      <c r="P122" s="144"/>
      <c r="Q122" s="145"/>
      <c r="R122" s="145"/>
      <c r="S122" s="154"/>
      <c r="T122" s="155"/>
      <c r="U122" s="144"/>
      <c r="V122" s="144"/>
    </row>
    <row r="123" spans="1:22" ht="14" x14ac:dyDescent="0.15">
      <c r="A123" s="144"/>
      <c r="B123" s="144"/>
      <c r="C123" s="145"/>
      <c r="D123" s="145"/>
      <c r="E123" s="148"/>
      <c r="F123" s="147"/>
      <c r="G123" s="144"/>
      <c r="H123" s="144"/>
      <c r="I123" s="144"/>
      <c r="J123" s="145"/>
      <c r="K123" s="145"/>
      <c r="L123" s="148"/>
      <c r="M123" s="155"/>
      <c r="N123" s="144"/>
      <c r="O123" s="144"/>
      <c r="P123" s="144"/>
      <c r="Q123" s="145"/>
      <c r="R123" s="145"/>
      <c r="S123" s="154"/>
      <c r="T123" s="155"/>
      <c r="U123" s="144"/>
      <c r="V123" s="144"/>
    </row>
    <row r="124" spans="1:22" ht="14" x14ac:dyDescent="0.15">
      <c r="A124" s="144"/>
      <c r="B124" s="144"/>
      <c r="C124" s="145"/>
      <c r="D124" s="145"/>
      <c r="E124" s="148"/>
      <c r="F124" s="147"/>
      <c r="G124" s="144"/>
      <c r="H124" s="144"/>
      <c r="I124" s="144"/>
      <c r="J124" s="145"/>
      <c r="K124" s="145"/>
      <c r="L124" s="148"/>
      <c r="M124" s="155"/>
      <c r="N124" s="144"/>
      <c r="O124" s="144"/>
      <c r="P124" s="144"/>
      <c r="Q124" s="145"/>
      <c r="R124" s="145"/>
      <c r="S124" s="154"/>
      <c r="T124" s="155"/>
      <c r="U124" s="144"/>
      <c r="V124" s="144"/>
    </row>
    <row r="125" spans="1:22" ht="14" x14ac:dyDescent="0.15">
      <c r="A125" s="144"/>
      <c r="B125" s="144"/>
      <c r="C125" s="145"/>
      <c r="D125" s="145"/>
      <c r="E125" s="148"/>
      <c r="F125" s="147"/>
      <c r="G125" s="144"/>
      <c r="H125" s="144"/>
      <c r="I125" s="144"/>
      <c r="J125" s="145"/>
      <c r="K125" s="145"/>
      <c r="L125" s="148"/>
      <c r="M125" s="155"/>
      <c r="N125" s="144"/>
      <c r="O125" s="144"/>
      <c r="P125" s="144"/>
      <c r="Q125" s="145"/>
      <c r="R125" s="145"/>
      <c r="S125" s="154"/>
      <c r="T125" s="155"/>
      <c r="U125" s="144"/>
      <c r="V125" s="144"/>
    </row>
    <row r="126" spans="1:22" ht="14" x14ac:dyDescent="0.15">
      <c r="A126" s="144"/>
      <c r="B126" s="144"/>
      <c r="C126" s="145"/>
      <c r="D126" s="145"/>
      <c r="E126" s="148"/>
      <c r="F126" s="147"/>
      <c r="G126" s="144"/>
      <c r="H126" s="144"/>
      <c r="I126" s="144"/>
      <c r="J126" s="145"/>
      <c r="K126" s="145"/>
      <c r="L126" s="148"/>
      <c r="M126" s="155"/>
      <c r="N126" s="144"/>
      <c r="O126" s="144"/>
      <c r="P126" s="144"/>
      <c r="Q126" s="145"/>
      <c r="R126" s="145"/>
      <c r="S126" s="154"/>
      <c r="T126" s="155"/>
      <c r="U126" s="144"/>
      <c r="V126" s="144"/>
    </row>
    <row r="127" spans="1:22" ht="14" x14ac:dyDescent="0.15">
      <c r="A127" s="144"/>
      <c r="B127" s="144"/>
      <c r="C127" s="145"/>
      <c r="D127" s="145"/>
      <c r="E127" s="148"/>
      <c r="F127" s="147"/>
      <c r="G127" s="144"/>
      <c r="H127" s="144"/>
      <c r="I127" s="144"/>
      <c r="J127" s="145"/>
      <c r="K127" s="145"/>
      <c r="L127" s="148"/>
      <c r="M127" s="155"/>
      <c r="N127" s="144"/>
      <c r="O127" s="144"/>
      <c r="P127" s="144"/>
      <c r="Q127" s="145"/>
      <c r="R127" s="145"/>
      <c r="S127" s="154"/>
      <c r="T127" s="155"/>
      <c r="U127" s="144"/>
      <c r="V127" s="144"/>
    </row>
    <row r="128" spans="1:22" ht="14" x14ac:dyDescent="0.15">
      <c r="A128" s="144"/>
      <c r="B128" s="144"/>
      <c r="C128" s="145"/>
      <c r="D128" s="145"/>
      <c r="E128" s="148"/>
      <c r="F128" s="147"/>
      <c r="G128" s="144"/>
      <c r="H128" s="144"/>
      <c r="I128" s="144"/>
      <c r="J128" s="145"/>
      <c r="K128" s="145"/>
      <c r="L128" s="148"/>
      <c r="M128" s="155"/>
      <c r="N128" s="144"/>
      <c r="O128" s="144"/>
      <c r="P128" s="144"/>
      <c r="Q128" s="145"/>
      <c r="R128" s="145"/>
      <c r="S128" s="154"/>
      <c r="T128" s="155"/>
      <c r="U128" s="144"/>
      <c r="V128" s="144"/>
    </row>
    <row r="129" spans="1:22" ht="14" x14ac:dyDescent="0.15">
      <c r="A129" s="144"/>
      <c r="B129" s="144"/>
      <c r="C129" s="145"/>
      <c r="D129" s="145"/>
      <c r="E129" s="148"/>
      <c r="F129" s="147"/>
      <c r="G129" s="144"/>
      <c r="H129" s="144"/>
      <c r="I129" s="144"/>
      <c r="J129" s="145"/>
      <c r="K129" s="145"/>
      <c r="L129" s="148"/>
      <c r="M129" s="155"/>
      <c r="N129" s="144"/>
      <c r="O129" s="144"/>
      <c r="P129" s="144"/>
      <c r="Q129" s="145"/>
      <c r="R129" s="145"/>
      <c r="S129" s="154"/>
      <c r="T129" s="155"/>
      <c r="U129" s="144"/>
      <c r="V129" s="144"/>
    </row>
    <row r="130" spans="1:22" ht="14" x14ac:dyDescent="0.15">
      <c r="A130" s="144"/>
      <c r="B130" s="144"/>
      <c r="C130" s="145"/>
      <c r="D130" s="145"/>
      <c r="E130" s="148"/>
      <c r="F130" s="147"/>
      <c r="G130" s="144"/>
      <c r="H130" s="144"/>
      <c r="I130" s="144"/>
      <c r="J130" s="145"/>
      <c r="K130" s="145"/>
      <c r="L130" s="148"/>
      <c r="M130" s="155"/>
      <c r="N130" s="144"/>
      <c r="O130" s="144"/>
      <c r="P130" s="144"/>
      <c r="Q130" s="145"/>
      <c r="R130" s="145"/>
      <c r="S130" s="154"/>
      <c r="T130" s="155"/>
      <c r="U130" s="144"/>
      <c r="V130" s="144"/>
    </row>
    <row r="131" spans="1:22" ht="14" x14ac:dyDescent="0.15">
      <c r="A131" s="144"/>
      <c r="B131" s="144"/>
      <c r="C131" s="145"/>
      <c r="D131" s="145"/>
      <c r="E131" s="148"/>
      <c r="F131" s="147"/>
      <c r="G131" s="144"/>
      <c r="H131" s="144"/>
      <c r="I131" s="144"/>
      <c r="J131" s="145"/>
      <c r="K131" s="145"/>
      <c r="L131" s="148"/>
      <c r="M131" s="155"/>
      <c r="N131" s="144"/>
      <c r="O131" s="144"/>
      <c r="P131" s="144"/>
      <c r="Q131" s="145"/>
      <c r="R131" s="145"/>
      <c r="S131" s="154"/>
      <c r="T131" s="155"/>
      <c r="U131" s="144"/>
      <c r="V131" s="144"/>
    </row>
    <row r="132" spans="1:22" ht="14" x14ac:dyDescent="0.15">
      <c r="A132" s="144"/>
      <c r="B132" s="144"/>
      <c r="C132" s="145"/>
      <c r="D132" s="145"/>
      <c r="E132" s="148"/>
      <c r="F132" s="147"/>
      <c r="G132" s="144"/>
      <c r="H132" s="144"/>
      <c r="I132" s="144"/>
      <c r="J132" s="145"/>
      <c r="K132" s="145"/>
      <c r="L132" s="148"/>
      <c r="M132" s="155"/>
      <c r="N132" s="144"/>
      <c r="O132" s="144"/>
      <c r="P132" s="144"/>
      <c r="Q132" s="145"/>
      <c r="R132" s="145"/>
      <c r="S132" s="154"/>
      <c r="T132" s="155"/>
      <c r="U132" s="144"/>
      <c r="V132" s="144"/>
    </row>
    <row r="133" spans="1:22" ht="14" x14ac:dyDescent="0.15">
      <c r="A133" s="144"/>
      <c r="B133" s="144"/>
      <c r="C133" s="145"/>
      <c r="D133" s="145"/>
      <c r="E133" s="148"/>
      <c r="F133" s="147"/>
      <c r="G133" s="144"/>
      <c r="H133" s="144"/>
      <c r="I133" s="144"/>
      <c r="J133" s="145"/>
      <c r="K133" s="145"/>
      <c r="L133" s="148"/>
      <c r="M133" s="155"/>
      <c r="N133" s="144"/>
      <c r="O133" s="144"/>
      <c r="P133" s="144"/>
      <c r="Q133" s="145"/>
      <c r="R133" s="145"/>
      <c r="S133" s="154"/>
      <c r="T133" s="155"/>
      <c r="U133" s="144"/>
      <c r="V133" s="144"/>
    </row>
    <row r="134" spans="1:22" ht="14" x14ac:dyDescent="0.15">
      <c r="A134" s="144"/>
      <c r="B134" s="144"/>
      <c r="C134" s="145"/>
      <c r="D134" s="145"/>
      <c r="E134" s="148"/>
      <c r="F134" s="147"/>
      <c r="G134" s="144"/>
      <c r="H134" s="144"/>
      <c r="I134" s="144"/>
      <c r="J134" s="145"/>
      <c r="K134" s="145"/>
      <c r="L134" s="148"/>
      <c r="M134" s="155"/>
      <c r="N134" s="144"/>
      <c r="O134" s="144"/>
      <c r="P134" s="144"/>
      <c r="Q134" s="145"/>
      <c r="R134" s="145"/>
      <c r="S134" s="154"/>
      <c r="T134" s="155"/>
      <c r="U134" s="144"/>
      <c r="V134" s="144"/>
    </row>
    <row r="135" spans="1:22" ht="14" x14ac:dyDescent="0.15">
      <c r="A135" s="144"/>
      <c r="B135" s="144"/>
      <c r="C135" s="145"/>
      <c r="D135" s="145"/>
      <c r="E135" s="148"/>
      <c r="F135" s="147"/>
      <c r="G135" s="144"/>
      <c r="H135" s="144"/>
      <c r="I135" s="144"/>
      <c r="J135" s="145"/>
      <c r="K135" s="145"/>
      <c r="L135" s="148"/>
      <c r="M135" s="155"/>
      <c r="N135" s="144"/>
      <c r="O135" s="144"/>
      <c r="P135" s="144"/>
      <c r="Q135" s="145"/>
      <c r="R135" s="145"/>
      <c r="S135" s="154"/>
      <c r="T135" s="155"/>
      <c r="U135" s="144"/>
      <c r="V135" s="144"/>
    </row>
    <row r="136" spans="1:22" ht="14" x14ac:dyDescent="0.15">
      <c r="A136" s="144"/>
      <c r="B136" s="144"/>
      <c r="C136" s="145"/>
      <c r="D136" s="145"/>
      <c r="E136" s="148"/>
      <c r="F136" s="147"/>
      <c r="G136" s="144"/>
      <c r="H136" s="144"/>
      <c r="I136" s="144"/>
      <c r="J136" s="145"/>
      <c r="K136" s="145"/>
      <c r="L136" s="148"/>
      <c r="M136" s="155"/>
      <c r="N136" s="144"/>
      <c r="O136" s="144"/>
      <c r="P136" s="144"/>
      <c r="Q136" s="145"/>
      <c r="R136" s="145"/>
      <c r="S136" s="154"/>
      <c r="T136" s="155"/>
      <c r="U136" s="144"/>
      <c r="V136" s="144"/>
    </row>
    <row r="137" spans="1:22" ht="14" x14ac:dyDescent="0.15">
      <c r="A137" s="144"/>
      <c r="B137" s="144"/>
      <c r="C137" s="145"/>
      <c r="D137" s="145"/>
      <c r="E137" s="148"/>
      <c r="F137" s="147"/>
      <c r="G137" s="144"/>
      <c r="H137" s="144"/>
      <c r="I137" s="144"/>
      <c r="J137" s="145"/>
      <c r="K137" s="145"/>
      <c r="L137" s="148"/>
      <c r="M137" s="155"/>
      <c r="N137" s="144"/>
      <c r="O137" s="144"/>
      <c r="P137" s="144"/>
      <c r="Q137" s="145"/>
      <c r="R137" s="145"/>
      <c r="S137" s="154"/>
      <c r="T137" s="155"/>
      <c r="U137" s="144"/>
      <c r="V137" s="144"/>
    </row>
    <row r="138" spans="1:22" ht="14" x14ac:dyDescent="0.15">
      <c r="A138" s="144"/>
      <c r="B138" s="144"/>
      <c r="C138" s="145"/>
      <c r="D138" s="145"/>
      <c r="E138" s="148"/>
      <c r="F138" s="147"/>
      <c r="G138" s="144"/>
      <c r="H138" s="144"/>
      <c r="I138" s="144"/>
      <c r="J138" s="145"/>
      <c r="K138" s="145"/>
      <c r="L138" s="148"/>
      <c r="M138" s="155"/>
      <c r="N138" s="144"/>
      <c r="O138" s="144"/>
      <c r="P138" s="144"/>
      <c r="Q138" s="145"/>
      <c r="R138" s="145"/>
      <c r="S138" s="154"/>
      <c r="T138" s="155"/>
      <c r="U138" s="144"/>
      <c r="V138" s="144"/>
    </row>
    <row r="139" spans="1:22" ht="14" x14ac:dyDescent="0.15">
      <c r="A139" s="144"/>
      <c r="B139" s="144"/>
      <c r="C139" s="145"/>
      <c r="D139" s="145"/>
      <c r="E139" s="148"/>
      <c r="F139" s="147"/>
      <c r="G139" s="144"/>
      <c r="H139" s="144"/>
      <c r="I139" s="144"/>
      <c r="J139" s="145"/>
      <c r="K139" s="145"/>
      <c r="L139" s="148"/>
      <c r="M139" s="155"/>
      <c r="N139" s="144"/>
      <c r="O139" s="144"/>
      <c r="P139" s="144"/>
      <c r="Q139" s="145"/>
      <c r="R139" s="145"/>
      <c r="S139" s="154"/>
      <c r="T139" s="155"/>
      <c r="U139" s="144"/>
      <c r="V139" s="144"/>
    </row>
    <row r="140" spans="1:22" ht="14" x14ac:dyDescent="0.15">
      <c r="A140" s="144"/>
      <c r="B140" s="144"/>
      <c r="C140" s="145"/>
      <c r="D140" s="145"/>
      <c r="E140" s="148"/>
      <c r="F140" s="147"/>
      <c r="G140" s="144"/>
      <c r="H140" s="144"/>
      <c r="I140" s="144"/>
      <c r="J140" s="145"/>
      <c r="K140" s="145"/>
      <c r="L140" s="148"/>
      <c r="M140" s="155"/>
      <c r="N140" s="144"/>
      <c r="O140" s="144"/>
      <c r="P140" s="144"/>
      <c r="Q140" s="145"/>
      <c r="R140" s="145"/>
      <c r="S140" s="154"/>
      <c r="T140" s="155"/>
      <c r="U140" s="144"/>
      <c r="V140" s="144"/>
    </row>
    <row r="141" spans="1:22" ht="14" x14ac:dyDescent="0.15">
      <c r="A141" s="144"/>
      <c r="B141" s="144"/>
      <c r="C141" s="145"/>
      <c r="D141" s="145"/>
      <c r="E141" s="148"/>
      <c r="F141" s="147"/>
      <c r="G141" s="144"/>
      <c r="H141" s="144"/>
      <c r="I141" s="144"/>
      <c r="J141" s="145"/>
      <c r="K141" s="145"/>
      <c r="L141" s="148"/>
      <c r="M141" s="155"/>
      <c r="N141" s="144"/>
      <c r="O141" s="144"/>
      <c r="P141" s="144"/>
      <c r="Q141" s="145"/>
      <c r="R141" s="145"/>
      <c r="S141" s="154"/>
      <c r="T141" s="155"/>
      <c r="U141" s="144"/>
      <c r="V141" s="144"/>
    </row>
    <row r="142" spans="1:22" ht="14" x14ac:dyDescent="0.15">
      <c r="A142" s="144"/>
      <c r="B142" s="144"/>
      <c r="C142" s="145"/>
      <c r="D142" s="145"/>
      <c r="E142" s="148"/>
      <c r="F142" s="147"/>
      <c r="G142" s="144"/>
      <c r="H142" s="144"/>
      <c r="I142" s="144"/>
      <c r="J142" s="145"/>
      <c r="K142" s="145"/>
      <c r="L142" s="148"/>
      <c r="M142" s="155"/>
      <c r="N142" s="144"/>
      <c r="O142" s="144"/>
      <c r="P142" s="144"/>
      <c r="Q142" s="145"/>
      <c r="R142" s="145"/>
      <c r="S142" s="154"/>
      <c r="T142" s="155"/>
      <c r="U142" s="144"/>
      <c r="V142" s="144"/>
    </row>
    <row r="143" spans="1:22" ht="14" x14ac:dyDescent="0.15">
      <c r="A143" s="144"/>
      <c r="B143" s="144"/>
      <c r="C143" s="145"/>
      <c r="D143" s="145"/>
      <c r="E143" s="148"/>
      <c r="F143" s="147"/>
      <c r="G143" s="144"/>
      <c r="H143" s="144"/>
      <c r="I143" s="144"/>
      <c r="J143" s="145"/>
      <c r="K143" s="145"/>
      <c r="L143" s="148"/>
      <c r="M143" s="155"/>
      <c r="N143" s="144"/>
      <c r="O143" s="144"/>
      <c r="P143" s="144"/>
      <c r="Q143" s="145"/>
      <c r="R143" s="145"/>
      <c r="S143" s="154"/>
      <c r="T143" s="155"/>
      <c r="U143" s="144"/>
      <c r="V143" s="144"/>
    </row>
    <row r="144" spans="1:22" ht="14" x14ac:dyDescent="0.15">
      <c r="A144" s="144"/>
      <c r="B144" s="144"/>
      <c r="C144" s="145"/>
      <c r="D144" s="145"/>
      <c r="E144" s="148"/>
      <c r="F144" s="147"/>
      <c r="G144" s="144"/>
      <c r="H144" s="144"/>
      <c r="I144" s="144"/>
      <c r="J144" s="145"/>
      <c r="K144" s="145"/>
      <c r="L144" s="148"/>
      <c r="M144" s="155"/>
      <c r="N144" s="144"/>
      <c r="O144" s="144"/>
      <c r="P144" s="144"/>
      <c r="Q144" s="145"/>
      <c r="R144" s="145"/>
      <c r="S144" s="154"/>
      <c r="T144" s="155"/>
      <c r="U144" s="144"/>
      <c r="V144" s="144"/>
    </row>
    <row r="145" spans="1:22" ht="14" x14ac:dyDescent="0.15">
      <c r="A145" s="144"/>
      <c r="B145" s="144"/>
      <c r="C145" s="145"/>
      <c r="D145" s="145"/>
      <c r="E145" s="148"/>
      <c r="F145" s="147"/>
      <c r="G145" s="144"/>
      <c r="H145" s="144"/>
      <c r="I145" s="144"/>
      <c r="J145" s="145"/>
      <c r="K145" s="145"/>
      <c r="L145" s="148"/>
      <c r="M145" s="155"/>
      <c r="N145" s="144"/>
      <c r="O145" s="144"/>
      <c r="P145" s="144"/>
      <c r="Q145" s="145"/>
      <c r="R145" s="145"/>
      <c r="S145" s="154"/>
      <c r="T145" s="155"/>
      <c r="U145" s="144"/>
      <c r="V145" s="144"/>
    </row>
    <row r="146" spans="1:22" ht="14" x14ac:dyDescent="0.15">
      <c r="A146" s="144"/>
      <c r="B146" s="144"/>
      <c r="C146" s="145"/>
      <c r="D146" s="145"/>
      <c r="E146" s="148"/>
      <c r="F146" s="147"/>
      <c r="G146" s="144"/>
      <c r="H146" s="144"/>
      <c r="I146" s="144"/>
      <c r="J146" s="145"/>
      <c r="K146" s="145"/>
      <c r="L146" s="148"/>
      <c r="M146" s="155"/>
      <c r="N146" s="144"/>
      <c r="O146" s="144"/>
      <c r="P146" s="144"/>
      <c r="Q146" s="145"/>
      <c r="R146" s="145"/>
      <c r="S146" s="154"/>
      <c r="T146" s="155"/>
      <c r="U146" s="144"/>
      <c r="V146" s="144"/>
    </row>
    <row r="147" spans="1:22" ht="14" x14ac:dyDescent="0.15">
      <c r="A147" s="144"/>
      <c r="B147" s="144"/>
      <c r="C147" s="145"/>
      <c r="D147" s="145"/>
      <c r="E147" s="148"/>
      <c r="F147" s="147"/>
      <c r="G147" s="144"/>
      <c r="H147" s="144"/>
      <c r="I147" s="144"/>
      <c r="J147" s="145"/>
      <c r="K147" s="145"/>
      <c r="L147" s="148"/>
      <c r="M147" s="155"/>
      <c r="N147" s="144"/>
      <c r="O147" s="144"/>
      <c r="P147" s="144"/>
      <c r="Q147" s="145"/>
      <c r="R147" s="145"/>
      <c r="S147" s="154"/>
      <c r="T147" s="155"/>
      <c r="U147" s="144"/>
      <c r="V147" s="144"/>
    </row>
    <row r="148" spans="1:22" ht="14" x14ac:dyDescent="0.15">
      <c r="A148" s="144"/>
      <c r="B148" s="144"/>
      <c r="C148" s="145"/>
      <c r="D148" s="145"/>
      <c r="E148" s="148"/>
      <c r="F148" s="147"/>
      <c r="G148" s="144"/>
      <c r="H148" s="144"/>
      <c r="I148" s="144"/>
      <c r="J148" s="145"/>
      <c r="K148" s="145"/>
      <c r="L148" s="148"/>
      <c r="M148" s="155"/>
      <c r="N148" s="144"/>
      <c r="O148" s="144"/>
      <c r="P148" s="144"/>
      <c r="Q148" s="145"/>
      <c r="R148" s="145"/>
      <c r="S148" s="154"/>
      <c r="T148" s="155"/>
      <c r="U148" s="144"/>
      <c r="V148" s="144"/>
    </row>
    <row r="149" spans="1:22" ht="14" x14ac:dyDescent="0.15">
      <c r="A149" s="144"/>
      <c r="B149" s="144"/>
      <c r="C149" s="145"/>
      <c r="D149" s="145"/>
      <c r="E149" s="148"/>
      <c r="F149" s="147"/>
      <c r="G149" s="144"/>
      <c r="H149" s="144"/>
      <c r="I149" s="144"/>
      <c r="J149" s="145"/>
      <c r="K149" s="145"/>
      <c r="L149" s="148"/>
      <c r="M149" s="155"/>
      <c r="N149" s="144"/>
      <c r="O149" s="144"/>
      <c r="P149" s="144"/>
      <c r="Q149" s="145"/>
      <c r="R149" s="145"/>
      <c r="S149" s="154"/>
      <c r="T149" s="155"/>
      <c r="U149" s="144"/>
      <c r="V149" s="144"/>
    </row>
    <row r="150" spans="1:22" ht="14" x14ac:dyDescent="0.15">
      <c r="A150" s="144"/>
      <c r="B150" s="144"/>
      <c r="C150" s="145"/>
      <c r="D150" s="145"/>
      <c r="E150" s="148"/>
      <c r="F150" s="147"/>
      <c r="G150" s="144"/>
      <c r="H150" s="144"/>
      <c r="I150" s="144"/>
      <c r="J150" s="145"/>
      <c r="K150" s="145"/>
      <c r="L150" s="148"/>
      <c r="M150" s="155"/>
      <c r="N150" s="144"/>
      <c r="O150" s="144"/>
      <c r="P150" s="144"/>
      <c r="Q150" s="145"/>
      <c r="R150" s="145"/>
      <c r="S150" s="154"/>
      <c r="T150" s="155"/>
      <c r="U150" s="144"/>
      <c r="V150" s="144"/>
    </row>
    <row r="151" spans="1:22" ht="14" x14ac:dyDescent="0.15">
      <c r="A151" s="144"/>
      <c r="B151" s="144"/>
      <c r="C151" s="145"/>
      <c r="D151" s="145"/>
      <c r="E151" s="148"/>
      <c r="F151" s="147"/>
      <c r="G151" s="144"/>
      <c r="H151" s="144"/>
      <c r="I151" s="144"/>
      <c r="J151" s="145"/>
      <c r="K151" s="145"/>
      <c r="L151" s="148"/>
      <c r="M151" s="155"/>
      <c r="N151" s="144"/>
      <c r="O151" s="144"/>
      <c r="P151" s="144"/>
      <c r="Q151" s="145"/>
      <c r="R151" s="145"/>
      <c r="S151" s="154"/>
      <c r="T151" s="155"/>
      <c r="U151" s="144"/>
      <c r="V151" s="144"/>
    </row>
    <row r="152" spans="1:22" ht="14" x14ac:dyDescent="0.15">
      <c r="A152" s="144"/>
      <c r="B152" s="144"/>
      <c r="C152" s="145"/>
      <c r="D152" s="145"/>
      <c r="E152" s="148"/>
      <c r="F152" s="147"/>
      <c r="G152" s="144"/>
      <c r="H152" s="144"/>
      <c r="I152" s="144"/>
      <c r="J152" s="145"/>
      <c r="K152" s="145"/>
      <c r="L152" s="148"/>
      <c r="M152" s="155"/>
      <c r="N152" s="144"/>
      <c r="O152" s="144"/>
      <c r="P152" s="144"/>
      <c r="Q152" s="145"/>
      <c r="R152" s="145"/>
      <c r="S152" s="154"/>
      <c r="T152" s="155"/>
      <c r="U152" s="144"/>
      <c r="V152" s="144"/>
    </row>
    <row r="153" spans="1:22" ht="14" x14ac:dyDescent="0.15">
      <c r="A153" s="144"/>
      <c r="B153" s="144"/>
      <c r="C153" s="145"/>
      <c r="D153" s="145"/>
      <c r="E153" s="148"/>
      <c r="F153" s="147"/>
      <c r="G153" s="144"/>
      <c r="H153" s="144"/>
      <c r="I153" s="144"/>
      <c r="J153" s="145"/>
      <c r="K153" s="145"/>
      <c r="L153" s="148"/>
      <c r="M153" s="155"/>
      <c r="N153" s="144"/>
      <c r="O153" s="144"/>
      <c r="P153" s="144"/>
      <c r="Q153" s="145"/>
      <c r="R153" s="145"/>
      <c r="S153" s="154"/>
      <c r="T153" s="155"/>
      <c r="U153" s="144"/>
      <c r="V153" s="144"/>
    </row>
    <row r="154" spans="1:22" ht="14" x14ac:dyDescent="0.15">
      <c r="A154" s="144"/>
      <c r="B154" s="144"/>
      <c r="C154" s="145"/>
      <c r="D154" s="145"/>
      <c r="E154" s="148"/>
      <c r="F154" s="147"/>
      <c r="G154" s="144"/>
      <c r="H154" s="144"/>
      <c r="I154" s="144"/>
      <c r="J154" s="145"/>
      <c r="K154" s="145"/>
      <c r="L154" s="148"/>
      <c r="M154" s="155"/>
      <c r="N154" s="144"/>
      <c r="O154" s="144"/>
      <c r="P154" s="144"/>
      <c r="Q154" s="145"/>
      <c r="R154" s="145"/>
      <c r="S154" s="154"/>
      <c r="T154" s="155"/>
      <c r="U154" s="144"/>
      <c r="V154" s="144"/>
    </row>
    <row r="155" spans="1:22" ht="14" x14ac:dyDescent="0.15">
      <c r="A155" s="144"/>
      <c r="B155" s="144"/>
      <c r="C155" s="145"/>
      <c r="D155" s="145"/>
      <c r="E155" s="148"/>
      <c r="F155" s="147"/>
      <c r="G155" s="144"/>
      <c r="H155" s="144"/>
      <c r="I155" s="144"/>
      <c r="J155" s="145"/>
      <c r="K155" s="145"/>
      <c r="L155" s="148"/>
      <c r="M155" s="155"/>
      <c r="N155" s="144"/>
      <c r="O155" s="144"/>
      <c r="P155" s="144"/>
      <c r="Q155" s="145"/>
      <c r="R155" s="145"/>
      <c r="S155" s="154"/>
      <c r="T155" s="155"/>
      <c r="U155" s="144"/>
      <c r="V155" s="144"/>
    </row>
    <row r="156" spans="1:22" ht="14" x14ac:dyDescent="0.15">
      <c r="A156" s="144"/>
      <c r="B156" s="144"/>
      <c r="C156" s="145"/>
      <c r="D156" s="145"/>
      <c r="E156" s="148"/>
      <c r="F156" s="147"/>
      <c r="G156" s="144"/>
      <c r="H156" s="144"/>
      <c r="I156" s="144"/>
      <c r="J156" s="145"/>
      <c r="K156" s="145"/>
      <c r="L156" s="148"/>
      <c r="M156" s="155"/>
      <c r="N156" s="144"/>
      <c r="O156" s="144"/>
      <c r="P156" s="144"/>
      <c r="Q156" s="145"/>
      <c r="R156" s="145"/>
      <c r="S156" s="154"/>
      <c r="T156" s="155"/>
      <c r="U156" s="144"/>
      <c r="V156" s="144"/>
    </row>
    <row r="157" spans="1:22" ht="14" x14ac:dyDescent="0.15">
      <c r="A157" s="144"/>
      <c r="B157" s="144"/>
      <c r="C157" s="145"/>
      <c r="D157" s="145"/>
      <c r="E157" s="148"/>
      <c r="F157" s="147"/>
      <c r="G157" s="144"/>
      <c r="H157" s="144"/>
      <c r="I157" s="144"/>
      <c r="J157" s="145"/>
      <c r="K157" s="145"/>
      <c r="L157" s="148"/>
      <c r="M157" s="155"/>
      <c r="N157" s="144"/>
      <c r="O157" s="144"/>
      <c r="P157" s="144"/>
      <c r="Q157" s="145"/>
      <c r="R157" s="145"/>
      <c r="S157" s="154"/>
      <c r="T157" s="155"/>
      <c r="U157" s="144"/>
      <c r="V157" s="144"/>
    </row>
    <row r="158" spans="1:22" ht="14" x14ac:dyDescent="0.15">
      <c r="A158" s="144"/>
      <c r="B158" s="144"/>
      <c r="C158" s="145"/>
      <c r="D158" s="145"/>
      <c r="E158" s="148"/>
      <c r="F158" s="147"/>
      <c r="G158" s="144"/>
      <c r="H158" s="144"/>
      <c r="I158" s="144"/>
      <c r="J158" s="145"/>
      <c r="K158" s="145"/>
      <c r="L158" s="148"/>
      <c r="M158" s="155"/>
      <c r="N158" s="144"/>
      <c r="O158" s="144"/>
      <c r="P158" s="144"/>
      <c r="Q158" s="145"/>
      <c r="R158" s="145"/>
      <c r="S158" s="154"/>
      <c r="T158" s="155"/>
      <c r="U158" s="144"/>
      <c r="V158" s="144"/>
    </row>
    <row r="159" spans="1:22" ht="14" x14ac:dyDescent="0.15">
      <c r="A159" s="144"/>
      <c r="B159" s="144"/>
      <c r="C159" s="145"/>
      <c r="D159" s="145"/>
      <c r="E159" s="148"/>
      <c r="F159" s="147"/>
      <c r="G159" s="144"/>
      <c r="H159" s="144"/>
      <c r="I159" s="144"/>
      <c r="J159" s="145"/>
      <c r="K159" s="145"/>
      <c r="L159" s="148"/>
      <c r="M159" s="155"/>
      <c r="N159" s="144"/>
      <c r="O159" s="144"/>
      <c r="P159" s="144"/>
      <c r="Q159" s="145"/>
      <c r="R159" s="145"/>
      <c r="S159" s="154"/>
      <c r="T159" s="155"/>
      <c r="U159" s="144"/>
      <c r="V159" s="144"/>
    </row>
    <row r="160" spans="1:22" ht="14" x14ac:dyDescent="0.15">
      <c r="A160" s="144"/>
      <c r="B160" s="144"/>
      <c r="C160" s="145"/>
      <c r="D160" s="145"/>
      <c r="E160" s="148"/>
      <c r="F160" s="147"/>
      <c r="G160" s="144"/>
      <c r="H160" s="144"/>
      <c r="I160" s="144"/>
      <c r="J160" s="145"/>
      <c r="K160" s="145"/>
      <c r="L160" s="148"/>
      <c r="M160" s="155"/>
      <c r="N160" s="144"/>
      <c r="O160" s="144"/>
      <c r="P160" s="144"/>
      <c r="Q160" s="145"/>
      <c r="R160" s="145"/>
      <c r="S160" s="154"/>
      <c r="T160" s="155"/>
      <c r="U160" s="144"/>
      <c r="V160" s="144"/>
    </row>
    <row r="161" spans="1:22" ht="14" x14ac:dyDescent="0.15">
      <c r="A161" s="144"/>
      <c r="B161" s="144"/>
      <c r="C161" s="145"/>
      <c r="D161" s="145"/>
      <c r="E161" s="148"/>
      <c r="F161" s="147"/>
      <c r="G161" s="144"/>
      <c r="H161" s="144"/>
      <c r="I161" s="144"/>
      <c r="J161" s="145"/>
      <c r="K161" s="145"/>
      <c r="L161" s="148"/>
      <c r="M161" s="155"/>
      <c r="N161" s="144"/>
      <c r="O161" s="144"/>
      <c r="P161" s="144"/>
      <c r="Q161" s="145"/>
      <c r="R161" s="145"/>
      <c r="S161" s="154"/>
      <c r="T161" s="155"/>
      <c r="U161" s="144"/>
      <c r="V161" s="144"/>
    </row>
    <row r="162" spans="1:22" ht="14" x14ac:dyDescent="0.15">
      <c r="A162" s="144"/>
      <c r="B162" s="144"/>
      <c r="C162" s="145"/>
      <c r="D162" s="145"/>
      <c r="E162" s="148"/>
      <c r="F162" s="147"/>
      <c r="G162" s="144"/>
      <c r="H162" s="144"/>
      <c r="I162" s="144"/>
      <c r="J162" s="145"/>
      <c r="K162" s="145"/>
      <c r="L162" s="148"/>
      <c r="M162" s="155"/>
      <c r="N162" s="144"/>
      <c r="O162" s="144"/>
      <c r="P162" s="144"/>
      <c r="Q162" s="145"/>
      <c r="R162" s="145"/>
      <c r="S162" s="154"/>
      <c r="T162" s="155"/>
      <c r="U162" s="144"/>
      <c r="V162" s="144"/>
    </row>
    <row r="163" spans="1:22" ht="14" x14ac:dyDescent="0.15">
      <c r="A163" s="144"/>
      <c r="B163" s="144"/>
      <c r="C163" s="145"/>
      <c r="D163" s="145"/>
      <c r="E163" s="148"/>
      <c r="F163" s="147"/>
      <c r="G163" s="144"/>
      <c r="H163" s="144"/>
      <c r="I163" s="144"/>
      <c r="J163" s="145"/>
      <c r="K163" s="145"/>
      <c r="L163" s="148"/>
      <c r="M163" s="155"/>
      <c r="N163" s="144"/>
      <c r="O163" s="144"/>
      <c r="P163" s="144"/>
      <c r="Q163" s="145"/>
      <c r="R163" s="145"/>
      <c r="S163" s="154"/>
      <c r="T163" s="155"/>
      <c r="U163" s="144"/>
      <c r="V163" s="144"/>
    </row>
    <row r="164" spans="1:22" ht="14" x14ac:dyDescent="0.15">
      <c r="A164" s="144"/>
      <c r="B164" s="144"/>
      <c r="C164" s="145"/>
      <c r="D164" s="145"/>
      <c r="E164" s="148"/>
      <c r="F164" s="147"/>
      <c r="G164" s="144"/>
      <c r="H164" s="144"/>
      <c r="I164" s="144"/>
      <c r="J164" s="145"/>
      <c r="K164" s="145"/>
      <c r="L164" s="148"/>
      <c r="M164" s="155"/>
      <c r="N164" s="144"/>
      <c r="O164" s="144"/>
      <c r="P164" s="144"/>
      <c r="Q164" s="145"/>
      <c r="R164" s="145"/>
      <c r="S164" s="154"/>
      <c r="T164" s="155"/>
      <c r="U164" s="144"/>
      <c r="V164" s="144"/>
    </row>
    <row r="165" spans="1:22" ht="14" x14ac:dyDescent="0.15">
      <c r="A165" s="144"/>
      <c r="B165" s="144"/>
      <c r="C165" s="145"/>
      <c r="D165" s="145"/>
      <c r="E165" s="148"/>
      <c r="F165" s="147"/>
      <c r="G165" s="144"/>
      <c r="H165" s="144"/>
      <c r="I165" s="144"/>
      <c r="J165" s="145"/>
      <c r="K165" s="145"/>
      <c r="L165" s="148"/>
      <c r="M165" s="155"/>
      <c r="N165" s="144"/>
      <c r="O165" s="144"/>
      <c r="P165" s="144"/>
      <c r="Q165" s="145"/>
      <c r="R165" s="145"/>
      <c r="S165" s="154"/>
      <c r="T165" s="155"/>
      <c r="U165" s="144"/>
      <c r="V165" s="144"/>
    </row>
    <row r="166" spans="1:22" ht="14" x14ac:dyDescent="0.15">
      <c r="A166" s="144"/>
      <c r="B166" s="144"/>
      <c r="C166" s="145"/>
      <c r="D166" s="145"/>
      <c r="E166" s="148"/>
      <c r="F166" s="147"/>
      <c r="G166" s="144"/>
      <c r="H166" s="144"/>
      <c r="I166" s="144"/>
      <c r="J166" s="145"/>
      <c r="K166" s="145"/>
      <c r="L166" s="148"/>
      <c r="M166" s="155"/>
      <c r="N166" s="144"/>
      <c r="O166" s="144"/>
      <c r="P166" s="144"/>
      <c r="Q166" s="145"/>
      <c r="R166" s="145"/>
      <c r="S166" s="154"/>
      <c r="T166" s="155"/>
      <c r="U166" s="144"/>
      <c r="V166" s="144"/>
    </row>
    <row r="167" spans="1:22" ht="14" x14ac:dyDescent="0.15">
      <c r="A167" s="144"/>
      <c r="B167" s="144"/>
      <c r="C167" s="145"/>
      <c r="D167" s="145"/>
      <c r="E167" s="148"/>
      <c r="F167" s="147"/>
      <c r="G167" s="144"/>
      <c r="H167" s="144"/>
      <c r="I167" s="144"/>
      <c r="J167" s="145"/>
      <c r="K167" s="145"/>
      <c r="L167" s="148"/>
      <c r="M167" s="155"/>
      <c r="N167" s="144"/>
      <c r="O167" s="144"/>
      <c r="P167" s="144"/>
      <c r="Q167" s="145"/>
      <c r="R167" s="145"/>
      <c r="S167" s="154"/>
      <c r="T167" s="155"/>
      <c r="U167" s="144"/>
      <c r="V167" s="144"/>
    </row>
    <row r="168" spans="1:22" ht="14" x14ac:dyDescent="0.15">
      <c r="A168" s="144"/>
      <c r="B168" s="144"/>
      <c r="C168" s="145"/>
      <c r="D168" s="145"/>
      <c r="E168" s="148"/>
      <c r="F168" s="147"/>
      <c r="G168" s="144"/>
      <c r="H168" s="144"/>
      <c r="I168" s="144"/>
      <c r="J168" s="145"/>
      <c r="K168" s="145"/>
      <c r="L168" s="148"/>
      <c r="M168" s="155"/>
      <c r="N168" s="144"/>
      <c r="O168" s="144"/>
      <c r="P168" s="144"/>
      <c r="Q168" s="145"/>
      <c r="R168" s="145"/>
      <c r="S168" s="154"/>
      <c r="T168" s="155"/>
      <c r="U168" s="144"/>
      <c r="V168" s="144"/>
    </row>
    <row r="169" spans="1:22" ht="14" x14ac:dyDescent="0.15">
      <c r="A169" s="144"/>
      <c r="B169" s="144"/>
      <c r="C169" s="145"/>
      <c r="D169" s="145"/>
      <c r="E169" s="148"/>
      <c r="F169" s="147"/>
      <c r="G169" s="144"/>
      <c r="H169" s="144"/>
      <c r="I169" s="144"/>
      <c r="J169" s="145"/>
      <c r="K169" s="145"/>
      <c r="L169" s="148"/>
      <c r="M169" s="155"/>
      <c r="N169" s="144"/>
      <c r="O169" s="144"/>
      <c r="P169" s="144"/>
      <c r="Q169" s="145"/>
      <c r="R169" s="145"/>
      <c r="S169" s="154"/>
      <c r="T169" s="155"/>
      <c r="U169" s="144"/>
      <c r="V169" s="144"/>
    </row>
    <row r="170" spans="1:22" ht="14" x14ac:dyDescent="0.15">
      <c r="A170" s="144"/>
      <c r="B170" s="144"/>
      <c r="C170" s="145"/>
      <c r="D170" s="145"/>
      <c r="E170" s="148"/>
      <c r="F170" s="147"/>
      <c r="G170" s="144"/>
      <c r="H170" s="144"/>
      <c r="I170" s="144"/>
      <c r="J170" s="145"/>
      <c r="K170" s="145"/>
      <c r="L170" s="148"/>
      <c r="M170" s="155"/>
      <c r="N170" s="144"/>
      <c r="O170" s="144"/>
      <c r="P170" s="144"/>
      <c r="Q170" s="145"/>
      <c r="R170" s="145"/>
      <c r="S170" s="154"/>
      <c r="T170" s="155"/>
      <c r="U170" s="144"/>
      <c r="V170" s="144"/>
    </row>
    <row r="171" spans="1:22" ht="14" x14ac:dyDescent="0.15">
      <c r="A171" s="144"/>
      <c r="B171" s="144"/>
      <c r="C171" s="145"/>
      <c r="D171" s="145"/>
      <c r="E171" s="148"/>
      <c r="F171" s="147"/>
      <c r="G171" s="144"/>
      <c r="H171" s="144"/>
      <c r="I171" s="144"/>
      <c r="J171" s="145"/>
      <c r="K171" s="145"/>
      <c r="L171" s="148"/>
      <c r="M171" s="155"/>
      <c r="N171" s="144"/>
      <c r="O171" s="144"/>
      <c r="P171" s="144"/>
      <c r="Q171" s="145"/>
      <c r="R171" s="145"/>
      <c r="S171" s="154"/>
      <c r="T171" s="155"/>
      <c r="U171" s="144"/>
      <c r="V171" s="144"/>
    </row>
    <row r="172" spans="1:22" ht="14" x14ac:dyDescent="0.15">
      <c r="A172" s="144"/>
      <c r="B172" s="144"/>
      <c r="C172" s="145"/>
      <c r="D172" s="145"/>
      <c r="E172" s="148"/>
      <c r="F172" s="147"/>
      <c r="G172" s="144"/>
      <c r="H172" s="144"/>
      <c r="I172" s="144"/>
      <c r="J172" s="145"/>
      <c r="K172" s="145"/>
      <c r="L172" s="148"/>
      <c r="M172" s="155"/>
      <c r="N172" s="144"/>
      <c r="O172" s="144"/>
      <c r="P172" s="144"/>
      <c r="Q172" s="145"/>
      <c r="R172" s="145"/>
      <c r="S172" s="154"/>
      <c r="T172" s="155"/>
      <c r="U172" s="144"/>
      <c r="V172" s="144"/>
    </row>
    <row r="173" spans="1:22" ht="14" x14ac:dyDescent="0.15">
      <c r="A173" s="144"/>
      <c r="B173" s="144"/>
      <c r="C173" s="145"/>
      <c r="D173" s="145"/>
      <c r="E173" s="148"/>
      <c r="F173" s="147"/>
      <c r="G173" s="144"/>
      <c r="H173" s="144"/>
      <c r="I173" s="144"/>
      <c r="J173" s="145"/>
      <c r="K173" s="145"/>
      <c r="L173" s="148"/>
      <c r="M173" s="155"/>
      <c r="N173" s="144"/>
      <c r="O173" s="144"/>
      <c r="P173" s="144"/>
      <c r="Q173" s="145"/>
      <c r="R173" s="145"/>
      <c r="S173" s="154"/>
      <c r="T173" s="155"/>
      <c r="U173" s="144"/>
      <c r="V173" s="144"/>
    </row>
    <row r="174" spans="1:22" ht="14" x14ac:dyDescent="0.15">
      <c r="A174" s="144"/>
      <c r="B174" s="144"/>
      <c r="C174" s="145"/>
      <c r="D174" s="145"/>
      <c r="E174" s="148"/>
      <c r="F174" s="147"/>
      <c r="G174" s="144"/>
      <c r="H174" s="144"/>
      <c r="I174" s="144"/>
      <c r="J174" s="145"/>
      <c r="K174" s="145"/>
      <c r="L174" s="148"/>
      <c r="M174" s="155"/>
      <c r="N174" s="144"/>
      <c r="O174" s="144"/>
      <c r="P174" s="144"/>
      <c r="Q174" s="145"/>
      <c r="R174" s="145"/>
      <c r="S174" s="154"/>
      <c r="T174" s="155"/>
      <c r="U174" s="144"/>
      <c r="V174" s="144"/>
    </row>
    <row r="175" spans="1:22" ht="14" x14ac:dyDescent="0.15">
      <c r="A175" s="144"/>
      <c r="B175" s="144"/>
      <c r="C175" s="145"/>
      <c r="D175" s="145"/>
      <c r="E175" s="148"/>
      <c r="F175" s="147"/>
      <c r="G175" s="144"/>
      <c r="H175" s="144"/>
      <c r="I175" s="144"/>
      <c r="J175" s="145"/>
      <c r="K175" s="145"/>
      <c r="L175" s="148"/>
      <c r="M175" s="155"/>
      <c r="N175" s="144"/>
      <c r="O175" s="144"/>
      <c r="P175" s="144"/>
      <c r="Q175" s="145"/>
      <c r="R175" s="145"/>
      <c r="S175" s="154"/>
      <c r="T175" s="155"/>
      <c r="U175" s="144"/>
      <c r="V175" s="144"/>
    </row>
    <row r="176" spans="1:22" ht="14" x14ac:dyDescent="0.15">
      <c r="A176" s="144"/>
      <c r="B176" s="144"/>
      <c r="C176" s="145"/>
      <c r="D176" s="145"/>
      <c r="E176" s="148"/>
      <c r="F176" s="147"/>
      <c r="G176" s="144"/>
      <c r="H176" s="144"/>
      <c r="I176" s="144"/>
      <c r="J176" s="145"/>
      <c r="K176" s="145"/>
      <c r="L176" s="148"/>
      <c r="M176" s="155"/>
      <c r="N176" s="144"/>
      <c r="O176" s="144"/>
      <c r="P176" s="144"/>
      <c r="Q176" s="145"/>
      <c r="R176" s="145"/>
      <c r="S176" s="154"/>
      <c r="T176" s="155"/>
      <c r="U176" s="144"/>
      <c r="V176" s="144"/>
    </row>
    <row r="177" spans="1:22" ht="14" x14ac:dyDescent="0.15">
      <c r="A177" s="144"/>
      <c r="B177" s="144"/>
      <c r="C177" s="145"/>
      <c r="D177" s="145"/>
      <c r="E177" s="148"/>
      <c r="F177" s="147"/>
      <c r="G177" s="144"/>
      <c r="H177" s="144"/>
      <c r="I177" s="144"/>
      <c r="J177" s="145"/>
      <c r="K177" s="145"/>
      <c r="L177" s="148"/>
      <c r="M177" s="155"/>
      <c r="N177" s="144"/>
      <c r="O177" s="144"/>
      <c r="P177" s="144"/>
      <c r="Q177" s="145"/>
      <c r="R177" s="145"/>
      <c r="S177" s="154"/>
      <c r="T177" s="155"/>
      <c r="U177" s="144"/>
      <c r="V177" s="144"/>
    </row>
    <row r="178" spans="1:22" ht="14" x14ac:dyDescent="0.15">
      <c r="A178" s="144"/>
      <c r="B178" s="144"/>
      <c r="C178" s="145"/>
      <c r="D178" s="145"/>
      <c r="E178" s="148"/>
      <c r="F178" s="147"/>
      <c r="G178" s="144"/>
      <c r="H178" s="144"/>
      <c r="I178" s="144"/>
      <c r="J178" s="145"/>
      <c r="K178" s="145"/>
      <c r="L178" s="148"/>
      <c r="M178" s="155"/>
      <c r="N178" s="144"/>
      <c r="O178" s="144"/>
      <c r="P178" s="144"/>
      <c r="Q178" s="145"/>
      <c r="R178" s="145"/>
      <c r="S178" s="154"/>
      <c r="T178" s="155"/>
      <c r="U178" s="144"/>
      <c r="V178" s="144"/>
    </row>
    <row r="179" spans="1:22" ht="14" x14ac:dyDescent="0.15">
      <c r="A179" s="144"/>
      <c r="B179" s="144"/>
      <c r="C179" s="145"/>
      <c r="D179" s="145"/>
      <c r="E179" s="148"/>
      <c r="F179" s="147"/>
      <c r="G179" s="144"/>
      <c r="H179" s="144"/>
      <c r="I179" s="144"/>
      <c r="J179" s="145"/>
      <c r="K179" s="145"/>
      <c r="L179" s="148"/>
      <c r="M179" s="155"/>
      <c r="N179" s="144"/>
      <c r="O179" s="144"/>
      <c r="P179" s="144"/>
      <c r="Q179" s="145"/>
      <c r="R179" s="145"/>
      <c r="S179" s="154"/>
      <c r="T179" s="155"/>
      <c r="U179" s="144"/>
      <c r="V179" s="144"/>
    </row>
    <row r="180" spans="1:22" ht="14" x14ac:dyDescent="0.15">
      <c r="A180" s="144"/>
      <c r="B180" s="144"/>
      <c r="C180" s="145"/>
      <c r="D180" s="145"/>
      <c r="E180" s="148"/>
      <c r="F180" s="147"/>
      <c r="G180" s="144"/>
      <c r="H180" s="144"/>
      <c r="I180" s="144"/>
      <c r="J180" s="145"/>
      <c r="K180" s="145"/>
      <c r="L180" s="148"/>
      <c r="M180" s="155"/>
      <c r="N180" s="144"/>
      <c r="O180" s="144"/>
      <c r="P180" s="144"/>
      <c r="Q180" s="145"/>
      <c r="R180" s="145"/>
      <c r="S180" s="154"/>
      <c r="T180" s="155"/>
      <c r="U180" s="144"/>
      <c r="V180" s="144"/>
    </row>
    <row r="181" spans="1:22" ht="14" x14ac:dyDescent="0.15">
      <c r="A181" s="144"/>
      <c r="B181" s="144"/>
      <c r="C181" s="145"/>
      <c r="D181" s="145"/>
      <c r="E181" s="148"/>
      <c r="F181" s="147"/>
      <c r="G181" s="144"/>
      <c r="H181" s="144"/>
      <c r="I181" s="144"/>
      <c r="J181" s="145"/>
      <c r="K181" s="145"/>
      <c r="L181" s="148"/>
      <c r="M181" s="155"/>
      <c r="N181" s="144"/>
      <c r="O181" s="144"/>
      <c r="P181" s="144"/>
      <c r="Q181" s="145"/>
      <c r="R181" s="145"/>
      <c r="S181" s="154"/>
      <c r="T181" s="155"/>
      <c r="U181" s="144"/>
      <c r="V181" s="144"/>
    </row>
    <row r="182" spans="1:22" ht="14" x14ac:dyDescent="0.15">
      <c r="A182" s="144"/>
      <c r="B182" s="144"/>
      <c r="C182" s="145"/>
      <c r="D182" s="145"/>
      <c r="E182" s="148"/>
      <c r="F182" s="147"/>
      <c r="G182" s="144"/>
      <c r="H182" s="144"/>
      <c r="I182" s="144"/>
      <c r="J182" s="145"/>
      <c r="K182" s="145"/>
      <c r="L182" s="148"/>
      <c r="M182" s="155"/>
      <c r="N182" s="144"/>
      <c r="O182" s="144"/>
      <c r="P182" s="144"/>
      <c r="Q182" s="145"/>
      <c r="R182" s="145"/>
      <c r="S182" s="154"/>
      <c r="T182" s="155"/>
      <c r="U182" s="144"/>
      <c r="V182" s="144"/>
    </row>
    <row r="183" spans="1:22" ht="14" x14ac:dyDescent="0.15">
      <c r="A183" s="144"/>
      <c r="B183" s="144"/>
      <c r="C183" s="145"/>
      <c r="D183" s="145"/>
      <c r="E183" s="148"/>
      <c r="F183" s="147"/>
      <c r="G183" s="144"/>
      <c r="H183" s="144"/>
      <c r="I183" s="144"/>
      <c r="J183" s="145"/>
      <c r="K183" s="145"/>
      <c r="L183" s="148"/>
      <c r="M183" s="155"/>
      <c r="N183" s="144"/>
      <c r="O183" s="144"/>
      <c r="P183" s="144"/>
      <c r="Q183" s="145"/>
      <c r="R183" s="145"/>
      <c r="S183" s="154"/>
      <c r="T183" s="155"/>
      <c r="U183" s="144"/>
      <c r="V183" s="144"/>
    </row>
    <row r="184" spans="1:22" ht="14" x14ac:dyDescent="0.15">
      <c r="A184" s="144"/>
      <c r="B184" s="144"/>
      <c r="C184" s="145"/>
      <c r="D184" s="145"/>
      <c r="E184" s="148"/>
      <c r="F184" s="147"/>
      <c r="G184" s="144"/>
      <c r="H184" s="144"/>
      <c r="I184" s="144"/>
      <c r="J184" s="145"/>
      <c r="K184" s="145"/>
      <c r="L184" s="148"/>
      <c r="M184" s="155"/>
      <c r="N184" s="144"/>
      <c r="O184" s="144"/>
      <c r="P184" s="144"/>
      <c r="Q184" s="145"/>
      <c r="R184" s="145"/>
      <c r="S184" s="154"/>
      <c r="T184" s="155"/>
      <c r="U184" s="144"/>
      <c r="V184" s="144"/>
    </row>
    <row r="185" spans="1:22" ht="14" x14ac:dyDescent="0.15">
      <c r="A185" s="144"/>
      <c r="B185" s="144"/>
      <c r="C185" s="145"/>
      <c r="D185" s="145"/>
      <c r="E185" s="148"/>
      <c r="F185" s="147"/>
      <c r="G185" s="144"/>
      <c r="H185" s="144"/>
      <c r="I185" s="144"/>
      <c r="J185" s="145"/>
      <c r="K185" s="145"/>
      <c r="L185" s="148"/>
      <c r="M185" s="155"/>
      <c r="N185" s="144"/>
      <c r="O185" s="144"/>
      <c r="P185" s="144"/>
      <c r="Q185" s="145"/>
      <c r="R185" s="145"/>
      <c r="S185" s="154"/>
      <c r="T185" s="155"/>
      <c r="U185" s="144"/>
      <c r="V185" s="144"/>
    </row>
    <row r="186" spans="1:22" ht="14" x14ac:dyDescent="0.15">
      <c r="A186" s="144"/>
      <c r="B186" s="144"/>
      <c r="C186" s="145"/>
      <c r="D186" s="145"/>
      <c r="E186" s="148"/>
      <c r="F186" s="147"/>
      <c r="G186" s="144"/>
      <c r="H186" s="144"/>
      <c r="I186" s="144"/>
      <c r="J186" s="145"/>
      <c r="K186" s="145"/>
      <c r="L186" s="148"/>
      <c r="M186" s="155"/>
      <c r="N186" s="144"/>
      <c r="O186" s="144"/>
      <c r="P186" s="144"/>
      <c r="Q186" s="145"/>
      <c r="R186" s="145"/>
      <c r="S186" s="154"/>
      <c r="T186" s="155"/>
      <c r="U186" s="144"/>
      <c r="V186" s="144"/>
    </row>
    <row r="187" spans="1:22" ht="14" x14ac:dyDescent="0.15">
      <c r="A187" s="144"/>
      <c r="B187" s="144"/>
      <c r="C187" s="145"/>
      <c r="D187" s="145"/>
      <c r="E187" s="148"/>
      <c r="F187" s="147"/>
      <c r="G187" s="144"/>
      <c r="H187" s="144"/>
      <c r="I187" s="144"/>
      <c r="J187" s="145"/>
      <c r="K187" s="145"/>
      <c r="L187" s="148"/>
      <c r="M187" s="155"/>
      <c r="N187" s="144"/>
      <c r="O187" s="144"/>
      <c r="P187" s="144"/>
      <c r="Q187" s="145"/>
      <c r="R187" s="145"/>
      <c r="S187" s="154"/>
      <c r="T187" s="155"/>
      <c r="U187" s="144"/>
      <c r="V187" s="144"/>
    </row>
    <row r="188" spans="1:22" ht="14" x14ac:dyDescent="0.15">
      <c r="A188" s="144"/>
      <c r="B188" s="144"/>
      <c r="C188" s="145"/>
      <c r="D188" s="145"/>
      <c r="E188" s="148"/>
      <c r="F188" s="147"/>
      <c r="G188" s="144"/>
      <c r="H188" s="144"/>
      <c r="I188" s="144"/>
      <c r="J188" s="145"/>
      <c r="K188" s="145"/>
      <c r="L188" s="148"/>
      <c r="M188" s="155"/>
      <c r="N188" s="144"/>
      <c r="O188" s="144"/>
      <c r="P188" s="144"/>
      <c r="Q188" s="145"/>
      <c r="R188" s="145"/>
      <c r="S188" s="154"/>
      <c r="T188" s="155"/>
      <c r="U188" s="144"/>
      <c r="V188" s="144"/>
    </row>
    <row r="189" spans="1:22" ht="14" x14ac:dyDescent="0.15">
      <c r="A189" s="144"/>
      <c r="B189" s="144"/>
      <c r="C189" s="145"/>
      <c r="D189" s="145"/>
      <c r="E189" s="148"/>
      <c r="F189" s="147"/>
      <c r="G189" s="144"/>
      <c r="H189" s="144"/>
      <c r="I189" s="144"/>
      <c r="J189" s="145"/>
      <c r="K189" s="145"/>
      <c r="L189" s="148"/>
      <c r="M189" s="155"/>
      <c r="N189" s="144"/>
      <c r="O189" s="144"/>
      <c r="P189" s="144"/>
      <c r="Q189" s="145"/>
      <c r="R189" s="145"/>
      <c r="S189" s="154"/>
      <c r="T189" s="155"/>
      <c r="U189" s="144"/>
      <c r="V189" s="144"/>
    </row>
    <row r="190" spans="1:22" ht="14" x14ac:dyDescent="0.15">
      <c r="A190" s="144"/>
      <c r="B190" s="144"/>
      <c r="C190" s="145"/>
      <c r="D190" s="145"/>
      <c r="E190" s="148"/>
      <c r="F190" s="147"/>
      <c r="G190" s="144"/>
      <c r="H190" s="144"/>
      <c r="I190" s="144"/>
      <c r="J190" s="145"/>
      <c r="K190" s="145"/>
      <c r="L190" s="148"/>
      <c r="M190" s="155"/>
      <c r="N190" s="144"/>
      <c r="O190" s="144"/>
      <c r="P190" s="144"/>
      <c r="Q190" s="145"/>
      <c r="R190" s="145"/>
      <c r="S190" s="154"/>
      <c r="T190" s="155"/>
      <c r="U190" s="144"/>
      <c r="V190" s="144"/>
    </row>
    <row r="191" spans="1:22" ht="14" x14ac:dyDescent="0.15">
      <c r="A191" s="144"/>
      <c r="B191" s="144"/>
      <c r="C191" s="145"/>
      <c r="D191" s="145"/>
      <c r="E191" s="148"/>
      <c r="F191" s="147"/>
      <c r="G191" s="144"/>
      <c r="H191" s="144"/>
      <c r="I191" s="144"/>
      <c r="J191" s="145"/>
      <c r="K191" s="145"/>
      <c r="L191" s="148"/>
      <c r="M191" s="155"/>
      <c r="N191" s="144"/>
      <c r="O191" s="144"/>
      <c r="P191" s="144"/>
      <c r="Q191" s="145"/>
      <c r="R191" s="145"/>
      <c r="S191" s="154"/>
      <c r="T191" s="155"/>
      <c r="U191" s="144"/>
      <c r="V191" s="144"/>
    </row>
    <row r="192" spans="1:22" ht="14" x14ac:dyDescent="0.15">
      <c r="A192" s="144"/>
      <c r="B192" s="144"/>
      <c r="C192" s="145"/>
      <c r="D192" s="145"/>
      <c r="E192" s="148"/>
      <c r="F192" s="147"/>
      <c r="G192" s="144"/>
      <c r="H192" s="144"/>
      <c r="I192" s="144"/>
      <c r="J192" s="145"/>
      <c r="K192" s="145"/>
      <c r="L192" s="148"/>
      <c r="M192" s="155"/>
      <c r="N192" s="144"/>
      <c r="O192" s="144"/>
      <c r="P192" s="144"/>
      <c r="Q192" s="145"/>
      <c r="R192" s="145"/>
      <c r="S192" s="154"/>
      <c r="T192" s="155"/>
      <c r="U192" s="144"/>
      <c r="V192" s="144"/>
    </row>
    <row r="193" spans="1:22" ht="14" x14ac:dyDescent="0.15">
      <c r="A193" s="144"/>
      <c r="B193" s="144"/>
      <c r="C193" s="145"/>
      <c r="D193" s="145"/>
      <c r="E193" s="148"/>
      <c r="F193" s="147"/>
      <c r="G193" s="144"/>
      <c r="H193" s="144"/>
      <c r="I193" s="144"/>
      <c r="J193" s="145"/>
      <c r="K193" s="145"/>
      <c r="L193" s="148"/>
      <c r="M193" s="155"/>
      <c r="N193" s="144"/>
      <c r="O193" s="144"/>
      <c r="P193" s="144"/>
      <c r="Q193" s="145"/>
      <c r="R193" s="145"/>
      <c r="S193" s="154"/>
      <c r="T193" s="155"/>
      <c r="U193" s="144"/>
      <c r="V193" s="144"/>
    </row>
    <row r="194" spans="1:22" ht="14" x14ac:dyDescent="0.15">
      <c r="A194" s="144"/>
      <c r="B194" s="144"/>
      <c r="C194" s="145"/>
      <c r="D194" s="145"/>
      <c r="E194" s="148"/>
      <c r="F194" s="147"/>
      <c r="G194" s="144"/>
      <c r="H194" s="144"/>
      <c r="I194" s="144"/>
      <c r="J194" s="145"/>
      <c r="K194" s="145"/>
      <c r="L194" s="148"/>
      <c r="M194" s="155"/>
      <c r="N194" s="144"/>
      <c r="O194" s="144"/>
      <c r="P194" s="144"/>
      <c r="Q194" s="145"/>
      <c r="R194" s="145"/>
      <c r="S194" s="154"/>
      <c r="T194" s="155"/>
      <c r="U194" s="144"/>
      <c r="V194" s="144"/>
    </row>
    <row r="195" spans="1:22" ht="14" x14ac:dyDescent="0.15">
      <c r="A195" s="144"/>
      <c r="B195" s="144"/>
      <c r="C195" s="145"/>
      <c r="D195" s="145"/>
      <c r="E195" s="148"/>
      <c r="F195" s="147"/>
      <c r="G195" s="144"/>
      <c r="H195" s="144"/>
      <c r="I195" s="144"/>
      <c r="J195" s="145"/>
      <c r="K195" s="145"/>
      <c r="L195" s="148"/>
      <c r="M195" s="155"/>
      <c r="N195" s="144"/>
      <c r="O195" s="144"/>
      <c r="P195" s="144"/>
      <c r="Q195" s="145"/>
      <c r="R195" s="145"/>
      <c r="S195" s="154"/>
      <c r="T195" s="155"/>
      <c r="U195" s="144"/>
      <c r="V195" s="144"/>
    </row>
    <row r="196" spans="1:22" ht="14" x14ac:dyDescent="0.15">
      <c r="A196" s="144"/>
      <c r="B196" s="144"/>
      <c r="C196" s="145"/>
      <c r="D196" s="145"/>
      <c r="E196" s="148"/>
      <c r="F196" s="147"/>
      <c r="G196" s="144"/>
      <c r="H196" s="144"/>
      <c r="I196" s="144"/>
      <c r="J196" s="145"/>
      <c r="K196" s="145"/>
      <c r="L196" s="148"/>
      <c r="M196" s="155"/>
      <c r="N196" s="144"/>
      <c r="O196" s="144"/>
      <c r="P196" s="144"/>
      <c r="Q196" s="145"/>
      <c r="R196" s="145"/>
      <c r="S196" s="154"/>
      <c r="T196" s="155"/>
      <c r="U196" s="144"/>
      <c r="V196" s="144"/>
    </row>
    <row r="197" spans="1:22" ht="14" x14ac:dyDescent="0.15">
      <c r="A197" s="144"/>
      <c r="B197" s="144"/>
      <c r="C197" s="145"/>
      <c r="D197" s="145"/>
      <c r="E197" s="148"/>
      <c r="F197" s="147"/>
      <c r="G197" s="144"/>
      <c r="H197" s="144"/>
      <c r="I197" s="144"/>
      <c r="J197" s="145"/>
      <c r="K197" s="145"/>
      <c r="L197" s="148"/>
      <c r="M197" s="155"/>
      <c r="N197" s="144"/>
      <c r="O197" s="144"/>
      <c r="P197" s="144"/>
      <c r="Q197" s="145"/>
      <c r="R197" s="145"/>
      <c r="S197" s="154"/>
      <c r="T197" s="155"/>
      <c r="U197" s="144"/>
      <c r="V197" s="144"/>
    </row>
    <row r="198" spans="1:22" ht="14" x14ac:dyDescent="0.15">
      <c r="A198" s="144"/>
      <c r="B198" s="144"/>
      <c r="C198" s="145"/>
      <c r="D198" s="145"/>
      <c r="E198" s="148"/>
      <c r="F198" s="147"/>
      <c r="G198" s="144"/>
      <c r="H198" s="144"/>
      <c r="I198" s="144"/>
      <c r="J198" s="145"/>
      <c r="K198" s="145"/>
      <c r="L198" s="148"/>
      <c r="M198" s="155"/>
      <c r="N198" s="144"/>
      <c r="O198" s="144"/>
      <c r="P198" s="144"/>
      <c r="Q198" s="145"/>
      <c r="R198" s="145"/>
      <c r="S198" s="154"/>
      <c r="T198" s="155"/>
      <c r="U198" s="144"/>
      <c r="V198" s="144"/>
    </row>
    <row r="199" spans="1:22" ht="14" x14ac:dyDescent="0.15">
      <c r="A199" s="144"/>
      <c r="B199" s="144"/>
      <c r="C199" s="145"/>
      <c r="D199" s="145"/>
      <c r="E199" s="148"/>
      <c r="F199" s="147"/>
      <c r="G199" s="144"/>
      <c r="H199" s="144"/>
      <c r="I199" s="144"/>
      <c r="J199" s="145"/>
      <c r="K199" s="145"/>
      <c r="L199" s="148"/>
      <c r="M199" s="155"/>
      <c r="N199" s="144"/>
      <c r="O199" s="144"/>
      <c r="P199" s="144"/>
      <c r="Q199" s="145"/>
      <c r="R199" s="145"/>
      <c r="S199" s="154"/>
      <c r="T199" s="155"/>
      <c r="U199" s="144"/>
      <c r="V199" s="144"/>
    </row>
    <row r="200" spans="1:22" ht="14" x14ac:dyDescent="0.15">
      <c r="A200" s="144"/>
      <c r="B200" s="144"/>
      <c r="C200" s="145"/>
      <c r="D200" s="145"/>
      <c r="E200" s="148"/>
      <c r="F200" s="147"/>
      <c r="G200" s="144"/>
      <c r="H200" s="144"/>
      <c r="I200" s="144"/>
      <c r="J200" s="145"/>
      <c r="K200" s="145"/>
      <c r="L200" s="148"/>
      <c r="M200" s="155"/>
      <c r="N200" s="144"/>
      <c r="O200" s="144"/>
      <c r="P200" s="144"/>
      <c r="Q200" s="145"/>
      <c r="R200" s="145"/>
      <c r="S200" s="154"/>
      <c r="T200" s="155"/>
      <c r="U200" s="144"/>
      <c r="V200" s="144"/>
    </row>
    <row r="201" spans="1:22" ht="14" x14ac:dyDescent="0.15">
      <c r="A201" s="144"/>
      <c r="B201" s="144"/>
      <c r="C201" s="145"/>
      <c r="D201" s="145"/>
      <c r="E201" s="148"/>
      <c r="F201" s="147"/>
      <c r="G201" s="144"/>
      <c r="H201" s="144"/>
      <c r="I201" s="144"/>
      <c r="J201" s="145"/>
      <c r="K201" s="145"/>
      <c r="L201" s="148"/>
      <c r="M201" s="155"/>
      <c r="N201" s="144"/>
      <c r="O201" s="144"/>
      <c r="P201" s="144"/>
      <c r="Q201" s="145"/>
      <c r="R201" s="145"/>
      <c r="S201" s="154"/>
      <c r="T201" s="155"/>
      <c r="U201" s="144"/>
      <c r="V201" s="144"/>
    </row>
    <row r="202" spans="1:22" ht="14" x14ac:dyDescent="0.15">
      <c r="A202" s="144"/>
      <c r="B202" s="144"/>
      <c r="C202" s="145"/>
      <c r="D202" s="145"/>
      <c r="E202" s="148"/>
      <c r="F202" s="147"/>
      <c r="G202" s="144"/>
      <c r="H202" s="144"/>
      <c r="I202" s="144"/>
      <c r="J202" s="145"/>
      <c r="K202" s="145"/>
      <c r="L202" s="148"/>
      <c r="M202" s="155"/>
      <c r="N202" s="144"/>
      <c r="O202" s="144"/>
      <c r="P202" s="144"/>
      <c r="Q202" s="145"/>
      <c r="R202" s="145"/>
      <c r="S202" s="154"/>
      <c r="T202" s="155"/>
      <c r="U202" s="144"/>
      <c r="V202" s="144"/>
    </row>
    <row r="203" spans="1:22" ht="14" x14ac:dyDescent="0.15">
      <c r="A203" s="144"/>
      <c r="B203" s="144"/>
      <c r="C203" s="145"/>
      <c r="D203" s="145"/>
      <c r="E203" s="148"/>
      <c r="F203" s="147"/>
      <c r="G203" s="144"/>
      <c r="H203" s="144"/>
      <c r="I203" s="144"/>
      <c r="J203" s="145"/>
      <c r="K203" s="145"/>
      <c r="L203" s="148"/>
      <c r="M203" s="155"/>
      <c r="N203" s="144"/>
      <c r="O203" s="144"/>
      <c r="P203" s="144"/>
      <c r="Q203" s="145"/>
      <c r="R203" s="145"/>
      <c r="S203" s="154"/>
      <c r="T203" s="155"/>
      <c r="U203" s="144"/>
      <c r="V203" s="144"/>
    </row>
    <row r="204" spans="1:22" ht="14" x14ac:dyDescent="0.15">
      <c r="A204" s="144"/>
      <c r="B204" s="144"/>
      <c r="C204" s="145"/>
      <c r="D204" s="145"/>
      <c r="E204" s="148"/>
      <c r="F204" s="147"/>
      <c r="G204" s="144"/>
      <c r="H204" s="144"/>
      <c r="I204" s="144"/>
      <c r="J204" s="145"/>
      <c r="K204" s="145"/>
      <c r="L204" s="148"/>
      <c r="M204" s="155"/>
      <c r="N204" s="144"/>
      <c r="O204" s="144"/>
      <c r="P204" s="144"/>
      <c r="Q204" s="145"/>
      <c r="R204" s="145"/>
      <c r="S204" s="154"/>
      <c r="T204" s="155"/>
      <c r="U204" s="144"/>
      <c r="V204" s="144"/>
    </row>
    <row r="205" spans="1:22" ht="14" x14ac:dyDescent="0.15">
      <c r="A205" s="144"/>
      <c r="B205" s="144"/>
      <c r="C205" s="145"/>
      <c r="D205" s="145"/>
      <c r="E205" s="148"/>
      <c r="F205" s="147"/>
      <c r="G205" s="144"/>
      <c r="H205" s="144"/>
      <c r="I205" s="144"/>
      <c r="J205" s="145"/>
      <c r="K205" s="145"/>
      <c r="L205" s="148"/>
      <c r="M205" s="155"/>
      <c r="N205" s="144"/>
      <c r="O205" s="144"/>
      <c r="P205" s="144"/>
      <c r="Q205" s="145"/>
      <c r="R205" s="145"/>
      <c r="S205" s="154"/>
      <c r="T205" s="155"/>
      <c r="U205" s="144"/>
      <c r="V205" s="144"/>
    </row>
    <row r="206" spans="1:22" ht="14" x14ac:dyDescent="0.15">
      <c r="A206" s="144"/>
      <c r="B206" s="144"/>
      <c r="C206" s="145"/>
      <c r="D206" s="145"/>
      <c r="E206" s="148"/>
      <c r="F206" s="147"/>
      <c r="G206" s="144"/>
      <c r="H206" s="144"/>
      <c r="I206" s="144"/>
      <c r="J206" s="145"/>
      <c r="K206" s="145"/>
      <c r="L206" s="148"/>
      <c r="M206" s="155"/>
      <c r="N206" s="144"/>
      <c r="O206" s="144"/>
      <c r="P206" s="144"/>
      <c r="Q206" s="145"/>
      <c r="R206" s="145"/>
      <c r="S206" s="154"/>
      <c r="T206" s="155"/>
      <c r="U206" s="144"/>
      <c r="V206" s="144"/>
    </row>
    <row r="207" spans="1:22" ht="14" x14ac:dyDescent="0.15">
      <c r="A207" s="144"/>
      <c r="B207" s="144"/>
      <c r="C207" s="145"/>
      <c r="D207" s="145"/>
      <c r="E207" s="148"/>
      <c r="F207" s="147"/>
      <c r="G207" s="144"/>
      <c r="H207" s="144"/>
      <c r="I207" s="144"/>
      <c r="J207" s="145"/>
      <c r="K207" s="145"/>
      <c r="L207" s="148"/>
      <c r="M207" s="155"/>
      <c r="N207" s="144"/>
      <c r="O207" s="144"/>
      <c r="P207" s="144"/>
      <c r="Q207" s="145"/>
      <c r="R207" s="145"/>
      <c r="S207" s="154"/>
      <c r="T207" s="155"/>
      <c r="U207" s="144"/>
      <c r="V207" s="144"/>
    </row>
    <row r="208" spans="1:22" ht="14" x14ac:dyDescent="0.15">
      <c r="A208" s="144"/>
      <c r="B208" s="144"/>
      <c r="C208" s="145"/>
      <c r="D208" s="145"/>
      <c r="E208" s="148"/>
      <c r="F208" s="147"/>
      <c r="G208" s="144"/>
      <c r="H208" s="144"/>
      <c r="I208" s="144"/>
      <c r="J208" s="145"/>
      <c r="K208" s="145"/>
      <c r="L208" s="148"/>
      <c r="M208" s="155"/>
      <c r="N208" s="144"/>
      <c r="O208" s="144"/>
      <c r="P208" s="144"/>
      <c r="Q208" s="145"/>
      <c r="R208" s="145"/>
      <c r="S208" s="154"/>
      <c r="T208" s="155"/>
      <c r="U208" s="144"/>
      <c r="V208" s="144"/>
    </row>
    <row r="209" spans="1:22" ht="14" x14ac:dyDescent="0.15">
      <c r="A209" s="144"/>
      <c r="B209" s="144"/>
      <c r="C209" s="145"/>
      <c r="D209" s="145"/>
      <c r="E209" s="148"/>
      <c r="F209" s="147"/>
      <c r="G209" s="144"/>
      <c r="H209" s="144"/>
      <c r="I209" s="144"/>
      <c r="J209" s="145"/>
      <c r="K209" s="145"/>
      <c r="L209" s="148"/>
      <c r="M209" s="155"/>
      <c r="N209" s="144"/>
      <c r="O209" s="144"/>
      <c r="P209" s="144"/>
      <c r="Q209" s="145"/>
      <c r="R209" s="145"/>
      <c r="S209" s="154"/>
      <c r="T209" s="155"/>
      <c r="U209" s="144"/>
      <c r="V209" s="144"/>
    </row>
    <row r="210" spans="1:22" ht="14" x14ac:dyDescent="0.15">
      <c r="A210" s="144"/>
      <c r="B210" s="144"/>
      <c r="C210" s="145"/>
      <c r="D210" s="145"/>
      <c r="E210" s="148"/>
      <c r="F210" s="147"/>
      <c r="G210" s="144"/>
      <c r="H210" s="144"/>
      <c r="I210" s="144"/>
      <c r="J210" s="145"/>
      <c r="K210" s="145"/>
      <c r="L210" s="148"/>
      <c r="M210" s="155"/>
      <c r="N210" s="144"/>
      <c r="O210" s="144"/>
      <c r="P210" s="144"/>
      <c r="Q210" s="145"/>
      <c r="R210" s="145"/>
      <c r="S210" s="154"/>
      <c r="T210" s="155"/>
      <c r="U210" s="144"/>
      <c r="V210" s="144"/>
    </row>
    <row r="211" spans="1:22" ht="14" x14ac:dyDescent="0.15">
      <c r="A211" s="144"/>
      <c r="B211" s="144"/>
      <c r="C211" s="145"/>
      <c r="D211" s="145"/>
      <c r="E211" s="148"/>
      <c r="F211" s="147"/>
      <c r="G211" s="144"/>
      <c r="H211" s="144"/>
      <c r="I211" s="144"/>
      <c r="J211" s="145"/>
      <c r="K211" s="145"/>
      <c r="L211" s="148"/>
      <c r="M211" s="155"/>
      <c r="N211" s="144"/>
      <c r="O211" s="144"/>
      <c r="P211" s="144"/>
      <c r="Q211" s="145"/>
      <c r="R211" s="145"/>
      <c r="S211" s="154"/>
      <c r="T211" s="155"/>
      <c r="U211" s="144"/>
      <c r="V211" s="144"/>
    </row>
    <row r="212" spans="1:22" ht="14" x14ac:dyDescent="0.15">
      <c r="A212" s="144"/>
      <c r="B212" s="144"/>
      <c r="C212" s="145"/>
      <c r="D212" s="145"/>
      <c r="E212" s="148"/>
      <c r="F212" s="147"/>
      <c r="G212" s="144"/>
      <c r="H212" s="144"/>
      <c r="I212" s="144"/>
      <c r="J212" s="145"/>
      <c r="K212" s="145"/>
      <c r="L212" s="148"/>
      <c r="M212" s="155"/>
      <c r="N212" s="144"/>
      <c r="O212" s="144"/>
      <c r="P212" s="144"/>
      <c r="Q212" s="145"/>
      <c r="R212" s="145"/>
      <c r="S212" s="154"/>
      <c r="T212" s="155"/>
      <c r="U212" s="144"/>
      <c r="V212" s="144"/>
    </row>
    <row r="213" spans="1:22" ht="14" x14ac:dyDescent="0.15">
      <c r="A213" s="144"/>
      <c r="B213" s="144"/>
      <c r="C213" s="145"/>
      <c r="D213" s="145"/>
      <c r="E213" s="148"/>
      <c r="F213" s="147"/>
      <c r="G213" s="144"/>
      <c r="H213" s="144"/>
      <c r="I213" s="144"/>
      <c r="J213" s="145"/>
      <c r="K213" s="145"/>
      <c r="L213" s="148"/>
      <c r="M213" s="155"/>
      <c r="N213" s="144"/>
      <c r="O213" s="144"/>
      <c r="P213" s="144"/>
      <c r="Q213" s="145"/>
      <c r="R213" s="145"/>
      <c r="S213" s="154"/>
      <c r="T213" s="155"/>
      <c r="U213" s="144"/>
      <c r="V213" s="144"/>
    </row>
    <row r="214" spans="1:22" ht="14" x14ac:dyDescent="0.15">
      <c r="A214" s="144"/>
      <c r="B214" s="144"/>
      <c r="C214" s="145"/>
      <c r="D214" s="145"/>
      <c r="E214" s="148"/>
      <c r="F214" s="147"/>
      <c r="G214" s="144"/>
      <c r="H214" s="144"/>
      <c r="I214" s="144"/>
      <c r="J214" s="145"/>
      <c r="K214" s="145"/>
      <c r="L214" s="148"/>
      <c r="M214" s="155"/>
      <c r="N214" s="144"/>
      <c r="O214" s="144"/>
      <c r="P214" s="144"/>
      <c r="Q214" s="145"/>
      <c r="R214" s="145"/>
      <c r="S214" s="154"/>
      <c r="T214" s="155"/>
      <c r="U214" s="144"/>
      <c r="V214" s="144"/>
    </row>
    <row r="215" spans="1:22" ht="14" x14ac:dyDescent="0.15">
      <c r="A215" s="144"/>
      <c r="B215" s="144"/>
      <c r="C215" s="145"/>
      <c r="D215" s="145"/>
      <c r="E215" s="148"/>
      <c r="F215" s="147"/>
      <c r="G215" s="144"/>
      <c r="H215" s="144"/>
      <c r="I215" s="144"/>
      <c r="J215" s="145"/>
      <c r="K215" s="145"/>
      <c r="L215" s="148"/>
      <c r="M215" s="155"/>
      <c r="N215" s="144"/>
      <c r="O215" s="144"/>
      <c r="P215" s="144"/>
      <c r="Q215" s="145"/>
      <c r="R215" s="145"/>
      <c r="S215" s="154"/>
      <c r="T215" s="155"/>
      <c r="U215" s="144"/>
      <c r="V215" s="144"/>
    </row>
    <row r="216" spans="1:22" ht="14" x14ac:dyDescent="0.15">
      <c r="A216" s="144"/>
      <c r="B216" s="144"/>
      <c r="C216" s="145"/>
      <c r="D216" s="145"/>
      <c r="E216" s="148"/>
      <c r="F216" s="147"/>
      <c r="G216" s="144"/>
      <c r="H216" s="144"/>
      <c r="I216" s="144"/>
      <c r="J216" s="145"/>
      <c r="K216" s="145"/>
      <c r="L216" s="148"/>
      <c r="M216" s="155"/>
      <c r="N216" s="144"/>
      <c r="O216" s="144"/>
      <c r="P216" s="144"/>
      <c r="Q216" s="145"/>
      <c r="R216" s="145"/>
      <c r="S216" s="154"/>
      <c r="T216" s="155"/>
      <c r="U216" s="144"/>
      <c r="V216" s="144"/>
    </row>
    <row r="217" spans="1:22" ht="14" x14ac:dyDescent="0.15">
      <c r="A217" s="144"/>
      <c r="B217" s="144"/>
      <c r="C217" s="145"/>
      <c r="D217" s="145"/>
      <c r="E217" s="148"/>
      <c r="F217" s="147"/>
      <c r="G217" s="144"/>
      <c r="H217" s="144"/>
      <c r="I217" s="144"/>
      <c r="J217" s="145"/>
      <c r="K217" s="145"/>
      <c r="L217" s="148"/>
      <c r="M217" s="155"/>
      <c r="N217" s="144"/>
      <c r="O217" s="144"/>
      <c r="P217" s="144"/>
      <c r="Q217" s="145"/>
      <c r="R217" s="145"/>
      <c r="S217" s="154"/>
      <c r="T217" s="155"/>
      <c r="U217" s="144"/>
      <c r="V217" s="144"/>
    </row>
    <row r="218" spans="1:22" ht="14" x14ac:dyDescent="0.15">
      <c r="A218" s="144"/>
      <c r="B218" s="144"/>
      <c r="C218" s="145"/>
      <c r="D218" s="145"/>
      <c r="E218" s="148"/>
      <c r="F218" s="147"/>
      <c r="G218" s="144"/>
      <c r="H218" s="144"/>
      <c r="I218" s="144"/>
      <c r="J218" s="145"/>
      <c r="K218" s="145"/>
      <c r="L218" s="148"/>
      <c r="M218" s="155"/>
      <c r="N218" s="144"/>
      <c r="O218" s="144"/>
      <c r="P218" s="144"/>
      <c r="Q218" s="145"/>
      <c r="R218" s="145"/>
      <c r="S218" s="154"/>
      <c r="T218" s="155"/>
      <c r="U218" s="144"/>
      <c r="V218" s="144"/>
    </row>
    <row r="219" spans="1:22" ht="14" x14ac:dyDescent="0.15">
      <c r="A219" s="144"/>
      <c r="B219" s="144"/>
      <c r="C219" s="145"/>
      <c r="D219" s="145"/>
      <c r="E219" s="148"/>
      <c r="F219" s="147"/>
      <c r="G219" s="144"/>
      <c r="H219" s="144"/>
      <c r="I219" s="144"/>
      <c r="J219" s="145"/>
      <c r="K219" s="145"/>
      <c r="L219" s="148"/>
      <c r="M219" s="155"/>
      <c r="N219" s="144"/>
      <c r="O219" s="144"/>
      <c r="P219" s="144"/>
      <c r="Q219" s="145"/>
      <c r="R219" s="145"/>
      <c r="S219" s="154"/>
      <c r="T219" s="155"/>
      <c r="U219" s="144"/>
      <c r="V219" s="144"/>
    </row>
    <row r="220" spans="1:22" ht="14" x14ac:dyDescent="0.15">
      <c r="A220" s="144"/>
      <c r="B220" s="144"/>
      <c r="C220" s="145"/>
      <c r="D220" s="145"/>
      <c r="E220" s="148"/>
      <c r="F220" s="147"/>
      <c r="G220" s="144"/>
      <c r="H220" s="144"/>
      <c r="I220" s="144"/>
      <c r="J220" s="145"/>
      <c r="K220" s="145"/>
      <c r="L220" s="148"/>
      <c r="M220" s="155"/>
      <c r="N220" s="144"/>
      <c r="O220" s="144"/>
      <c r="P220" s="144"/>
      <c r="Q220" s="145"/>
      <c r="R220" s="145"/>
      <c r="S220" s="154"/>
      <c r="T220" s="155"/>
      <c r="U220" s="144"/>
      <c r="V220" s="144"/>
    </row>
    <row r="221" spans="1:22" ht="14" x14ac:dyDescent="0.15">
      <c r="A221" s="144"/>
      <c r="B221" s="144"/>
      <c r="C221" s="145"/>
      <c r="D221" s="145"/>
      <c r="E221" s="148"/>
      <c r="F221" s="147"/>
      <c r="G221" s="144"/>
      <c r="H221" s="144"/>
      <c r="I221" s="144"/>
      <c r="J221" s="145"/>
      <c r="K221" s="145"/>
      <c r="L221" s="148"/>
      <c r="M221" s="155"/>
      <c r="N221" s="144"/>
      <c r="O221" s="144"/>
      <c r="P221" s="144"/>
      <c r="Q221" s="145"/>
      <c r="R221" s="145"/>
      <c r="S221" s="154"/>
      <c r="T221" s="155"/>
      <c r="U221" s="144"/>
      <c r="V221" s="144"/>
    </row>
    <row r="222" spans="1:22" ht="14" x14ac:dyDescent="0.15">
      <c r="A222" s="144"/>
      <c r="B222" s="144"/>
      <c r="C222" s="145"/>
      <c r="D222" s="145"/>
      <c r="E222" s="148"/>
      <c r="F222" s="147"/>
      <c r="G222" s="144"/>
      <c r="H222" s="144"/>
      <c r="I222" s="144"/>
      <c r="J222" s="145"/>
      <c r="K222" s="145"/>
      <c r="L222" s="148"/>
      <c r="M222" s="155"/>
      <c r="N222" s="144"/>
      <c r="O222" s="144"/>
      <c r="P222" s="144"/>
      <c r="Q222" s="145"/>
      <c r="R222" s="145"/>
      <c r="S222" s="154"/>
      <c r="T222" s="155"/>
      <c r="U222" s="144"/>
      <c r="V222" s="144"/>
    </row>
    <row r="223" spans="1:22" ht="14" x14ac:dyDescent="0.15">
      <c r="A223" s="144"/>
      <c r="B223" s="144"/>
      <c r="C223" s="145"/>
      <c r="D223" s="145"/>
      <c r="E223" s="148"/>
      <c r="F223" s="147"/>
      <c r="G223" s="144"/>
      <c r="H223" s="144"/>
      <c r="I223" s="144"/>
      <c r="J223" s="145"/>
      <c r="K223" s="145"/>
      <c r="L223" s="148"/>
      <c r="M223" s="155"/>
      <c r="N223" s="144"/>
      <c r="O223" s="144"/>
      <c r="P223" s="144"/>
      <c r="Q223" s="145"/>
      <c r="R223" s="145"/>
      <c r="S223" s="154"/>
      <c r="T223" s="155"/>
      <c r="U223" s="144"/>
      <c r="V223" s="144"/>
    </row>
    <row r="224" spans="1:22" ht="14" x14ac:dyDescent="0.15">
      <c r="A224" s="144"/>
      <c r="B224" s="144"/>
      <c r="C224" s="145"/>
      <c r="D224" s="145"/>
      <c r="E224" s="148"/>
      <c r="F224" s="147"/>
      <c r="G224" s="144"/>
      <c r="H224" s="144"/>
      <c r="I224" s="144"/>
      <c r="J224" s="145"/>
      <c r="K224" s="145"/>
      <c r="L224" s="148"/>
      <c r="M224" s="155"/>
      <c r="N224" s="144"/>
      <c r="O224" s="144"/>
      <c r="P224" s="144"/>
      <c r="Q224" s="145"/>
      <c r="R224" s="145"/>
      <c r="S224" s="154"/>
      <c r="T224" s="155"/>
      <c r="U224" s="144"/>
      <c r="V224" s="144"/>
    </row>
    <row r="225" spans="1:22" ht="14" x14ac:dyDescent="0.15">
      <c r="A225" s="144"/>
      <c r="B225" s="144"/>
      <c r="C225" s="145"/>
      <c r="D225" s="145"/>
      <c r="E225" s="148"/>
      <c r="F225" s="147"/>
      <c r="G225" s="144"/>
      <c r="H225" s="144"/>
      <c r="I225" s="144"/>
      <c r="J225" s="145"/>
      <c r="K225" s="145"/>
      <c r="L225" s="148"/>
      <c r="M225" s="155"/>
      <c r="N225" s="144"/>
      <c r="O225" s="144"/>
      <c r="P225" s="144"/>
      <c r="Q225" s="145"/>
      <c r="R225" s="145"/>
      <c r="S225" s="154"/>
      <c r="T225" s="155"/>
      <c r="U225" s="144"/>
      <c r="V225" s="144"/>
    </row>
    <row r="226" spans="1:22" ht="14" x14ac:dyDescent="0.15">
      <c r="A226" s="144"/>
      <c r="B226" s="144"/>
      <c r="C226" s="145"/>
      <c r="D226" s="145"/>
      <c r="E226" s="148"/>
      <c r="F226" s="147"/>
      <c r="G226" s="144"/>
      <c r="H226" s="144"/>
      <c r="I226" s="144"/>
      <c r="J226" s="145"/>
      <c r="K226" s="145"/>
      <c r="L226" s="148"/>
      <c r="M226" s="155"/>
      <c r="N226" s="144"/>
      <c r="O226" s="144"/>
      <c r="P226" s="144"/>
      <c r="Q226" s="145"/>
      <c r="R226" s="145"/>
      <c r="S226" s="154"/>
      <c r="T226" s="155"/>
      <c r="U226" s="144"/>
      <c r="V226" s="144"/>
    </row>
    <row r="227" spans="1:22" ht="14" x14ac:dyDescent="0.15">
      <c r="A227" s="144"/>
      <c r="B227" s="144"/>
      <c r="C227" s="145"/>
      <c r="D227" s="145"/>
      <c r="E227" s="148"/>
      <c r="F227" s="147"/>
      <c r="G227" s="144"/>
      <c r="H227" s="144"/>
      <c r="I227" s="144"/>
      <c r="J227" s="145"/>
      <c r="K227" s="145"/>
      <c r="L227" s="148"/>
      <c r="M227" s="155"/>
      <c r="N227" s="144"/>
      <c r="O227" s="144"/>
      <c r="P227" s="144"/>
      <c r="Q227" s="145"/>
      <c r="R227" s="145"/>
      <c r="S227" s="154"/>
      <c r="T227" s="155"/>
      <c r="U227" s="144"/>
      <c r="V227" s="144"/>
    </row>
    <row r="228" spans="1:22" ht="14" x14ac:dyDescent="0.15">
      <c r="A228" s="144"/>
      <c r="B228" s="144"/>
      <c r="C228" s="145"/>
      <c r="D228" s="145"/>
      <c r="E228" s="148"/>
      <c r="F228" s="147"/>
      <c r="G228" s="144"/>
      <c r="H228" s="144"/>
      <c r="I228" s="144"/>
      <c r="J228" s="145"/>
      <c r="K228" s="145"/>
      <c r="L228" s="148"/>
      <c r="M228" s="155"/>
      <c r="N228" s="144"/>
      <c r="O228" s="144"/>
      <c r="P228" s="144"/>
      <c r="Q228" s="145"/>
      <c r="R228" s="145"/>
      <c r="S228" s="154"/>
      <c r="T228" s="155"/>
      <c r="U228" s="144"/>
      <c r="V228" s="144"/>
    </row>
    <row r="229" spans="1:22" ht="14" x14ac:dyDescent="0.15">
      <c r="A229" s="144"/>
      <c r="B229" s="144"/>
      <c r="C229" s="145"/>
      <c r="D229" s="145"/>
      <c r="E229" s="148"/>
      <c r="F229" s="147"/>
      <c r="G229" s="144"/>
      <c r="H229" s="144"/>
      <c r="I229" s="144"/>
      <c r="J229" s="145"/>
      <c r="K229" s="145"/>
      <c r="L229" s="148"/>
      <c r="M229" s="155"/>
      <c r="N229" s="144"/>
      <c r="O229" s="144"/>
      <c r="P229" s="144"/>
      <c r="Q229" s="145"/>
      <c r="R229" s="145"/>
      <c r="S229" s="154"/>
      <c r="T229" s="155"/>
      <c r="U229" s="144"/>
      <c r="V229" s="144"/>
    </row>
    <row r="230" spans="1:22" ht="14" x14ac:dyDescent="0.15">
      <c r="A230" s="144"/>
      <c r="B230" s="144"/>
      <c r="C230" s="145"/>
      <c r="D230" s="145"/>
      <c r="E230" s="148"/>
      <c r="F230" s="147"/>
      <c r="G230" s="144"/>
      <c r="H230" s="144"/>
      <c r="I230" s="144"/>
      <c r="J230" s="145"/>
      <c r="K230" s="145"/>
      <c r="L230" s="148"/>
      <c r="M230" s="155"/>
      <c r="N230" s="144"/>
      <c r="O230" s="144"/>
      <c r="P230" s="144"/>
      <c r="Q230" s="145"/>
      <c r="R230" s="145"/>
      <c r="S230" s="154"/>
      <c r="T230" s="155"/>
      <c r="U230" s="144"/>
      <c r="V230" s="144"/>
    </row>
    <row r="231" spans="1:22" ht="14" x14ac:dyDescent="0.15">
      <c r="A231" s="144"/>
      <c r="B231" s="144"/>
      <c r="C231" s="145"/>
      <c r="D231" s="145"/>
      <c r="E231" s="148"/>
      <c r="F231" s="147"/>
      <c r="G231" s="144"/>
      <c r="H231" s="144"/>
      <c r="I231" s="144"/>
      <c r="J231" s="145"/>
      <c r="K231" s="145"/>
      <c r="L231" s="148"/>
      <c r="M231" s="155"/>
      <c r="N231" s="144"/>
      <c r="O231" s="144"/>
      <c r="P231" s="144"/>
      <c r="Q231" s="145"/>
      <c r="R231" s="145"/>
      <c r="S231" s="154"/>
      <c r="T231" s="155"/>
      <c r="U231" s="144"/>
      <c r="V231" s="144"/>
    </row>
    <row r="232" spans="1:22" ht="14" x14ac:dyDescent="0.15">
      <c r="A232" s="144"/>
      <c r="B232" s="144"/>
      <c r="C232" s="145"/>
      <c r="D232" s="145"/>
      <c r="E232" s="148"/>
      <c r="F232" s="147"/>
      <c r="G232" s="144"/>
      <c r="H232" s="144"/>
      <c r="I232" s="144"/>
      <c r="J232" s="145"/>
      <c r="K232" s="145"/>
      <c r="L232" s="148"/>
      <c r="M232" s="155"/>
      <c r="N232" s="144"/>
      <c r="O232" s="144"/>
      <c r="P232" s="144"/>
      <c r="Q232" s="145"/>
      <c r="R232" s="145"/>
      <c r="S232" s="154"/>
      <c r="T232" s="155"/>
      <c r="U232" s="144"/>
      <c r="V232" s="144"/>
    </row>
    <row r="233" spans="1:22" ht="14" x14ac:dyDescent="0.15">
      <c r="A233" s="144"/>
      <c r="B233" s="144"/>
      <c r="C233" s="145"/>
      <c r="D233" s="145"/>
      <c r="E233" s="148"/>
      <c r="F233" s="147"/>
      <c r="G233" s="144"/>
      <c r="H233" s="144"/>
      <c r="I233" s="144"/>
      <c r="J233" s="145"/>
      <c r="K233" s="145"/>
      <c r="L233" s="148"/>
      <c r="M233" s="155"/>
      <c r="N233" s="144"/>
      <c r="O233" s="144"/>
      <c r="P233" s="144"/>
      <c r="Q233" s="145"/>
      <c r="R233" s="145"/>
      <c r="S233" s="154"/>
      <c r="T233" s="155"/>
      <c r="U233" s="144"/>
      <c r="V233" s="144"/>
    </row>
    <row r="234" spans="1:22" ht="14" x14ac:dyDescent="0.15">
      <c r="A234" s="144"/>
      <c r="B234" s="144"/>
      <c r="C234" s="145"/>
      <c r="D234" s="145"/>
      <c r="E234" s="148"/>
      <c r="F234" s="147"/>
      <c r="G234" s="144"/>
      <c r="H234" s="144"/>
      <c r="I234" s="144"/>
      <c r="J234" s="145"/>
      <c r="K234" s="145"/>
      <c r="L234" s="148"/>
      <c r="M234" s="155"/>
      <c r="N234" s="144"/>
      <c r="O234" s="144"/>
      <c r="P234" s="144"/>
      <c r="Q234" s="145"/>
      <c r="R234" s="145"/>
      <c r="S234" s="154"/>
      <c r="T234" s="155"/>
      <c r="U234" s="144"/>
      <c r="V234" s="144"/>
    </row>
    <row r="235" spans="1:22" ht="14" x14ac:dyDescent="0.15">
      <c r="A235" s="144"/>
      <c r="B235" s="144"/>
      <c r="C235" s="145"/>
      <c r="D235" s="145"/>
      <c r="E235" s="148"/>
      <c r="F235" s="147"/>
      <c r="G235" s="144"/>
      <c r="H235" s="144"/>
      <c r="I235" s="144"/>
      <c r="J235" s="145"/>
      <c r="K235" s="145"/>
      <c r="L235" s="148"/>
      <c r="M235" s="155"/>
      <c r="N235" s="144"/>
      <c r="O235" s="144"/>
      <c r="P235" s="144"/>
      <c r="Q235" s="145"/>
      <c r="R235" s="145"/>
      <c r="S235" s="154"/>
      <c r="T235" s="155"/>
      <c r="U235" s="144"/>
      <c r="V235" s="144"/>
    </row>
    <row r="236" spans="1:22" ht="14" x14ac:dyDescent="0.15">
      <c r="A236" s="144"/>
      <c r="B236" s="144"/>
      <c r="C236" s="145"/>
      <c r="D236" s="145"/>
      <c r="E236" s="148"/>
      <c r="F236" s="147"/>
      <c r="G236" s="144"/>
      <c r="H236" s="144"/>
      <c r="I236" s="144"/>
      <c r="J236" s="145"/>
      <c r="K236" s="145"/>
      <c r="L236" s="148"/>
      <c r="M236" s="155"/>
      <c r="N236" s="144"/>
      <c r="O236" s="144"/>
      <c r="P236" s="144"/>
      <c r="Q236" s="145"/>
      <c r="R236" s="145"/>
      <c r="S236" s="154"/>
      <c r="T236" s="155"/>
      <c r="U236" s="144"/>
      <c r="V236" s="144"/>
    </row>
    <row r="237" spans="1:22" ht="14" x14ac:dyDescent="0.15">
      <c r="A237" s="144"/>
      <c r="B237" s="144"/>
      <c r="C237" s="145"/>
      <c r="D237" s="145"/>
      <c r="E237" s="148"/>
      <c r="F237" s="147"/>
      <c r="G237" s="144"/>
      <c r="H237" s="144"/>
      <c r="I237" s="144"/>
      <c r="J237" s="145"/>
      <c r="K237" s="145"/>
      <c r="L237" s="148"/>
      <c r="M237" s="155"/>
      <c r="N237" s="144"/>
      <c r="O237" s="144"/>
      <c r="P237" s="144"/>
      <c r="Q237" s="145"/>
      <c r="R237" s="145"/>
      <c r="S237" s="154"/>
      <c r="T237" s="155"/>
      <c r="U237" s="144"/>
      <c r="V237" s="144"/>
    </row>
    <row r="238" spans="1:22" ht="14" x14ac:dyDescent="0.15">
      <c r="A238" s="144"/>
      <c r="B238" s="144"/>
      <c r="C238" s="145"/>
      <c r="D238" s="145"/>
      <c r="E238" s="148"/>
      <c r="F238" s="147"/>
      <c r="G238" s="144"/>
      <c r="H238" s="144"/>
      <c r="I238" s="144"/>
      <c r="J238" s="145"/>
      <c r="K238" s="145"/>
      <c r="L238" s="148"/>
      <c r="M238" s="155"/>
      <c r="N238" s="144"/>
      <c r="O238" s="144"/>
      <c r="P238" s="144"/>
      <c r="Q238" s="145"/>
      <c r="R238" s="145"/>
      <c r="S238" s="154"/>
      <c r="T238" s="155"/>
      <c r="U238" s="144"/>
      <c r="V238" s="144"/>
    </row>
    <row r="239" spans="1:22" ht="14" x14ac:dyDescent="0.15">
      <c r="A239" s="144"/>
      <c r="B239" s="144"/>
      <c r="C239" s="145"/>
      <c r="D239" s="145"/>
      <c r="E239" s="148"/>
      <c r="F239" s="147"/>
      <c r="G239" s="144"/>
      <c r="H239" s="144"/>
      <c r="I239" s="144"/>
      <c r="J239" s="145"/>
      <c r="K239" s="145"/>
      <c r="L239" s="148"/>
      <c r="M239" s="155"/>
      <c r="N239" s="144"/>
      <c r="O239" s="144"/>
      <c r="P239" s="144"/>
      <c r="Q239" s="145"/>
      <c r="R239" s="145"/>
      <c r="S239" s="154"/>
      <c r="T239" s="155"/>
      <c r="U239" s="144"/>
      <c r="V239" s="144"/>
    </row>
    <row r="240" spans="1:22" ht="14" x14ac:dyDescent="0.15">
      <c r="A240" s="144"/>
      <c r="B240" s="144"/>
      <c r="C240" s="145"/>
      <c r="D240" s="145"/>
      <c r="E240" s="148"/>
      <c r="F240" s="147"/>
      <c r="G240" s="144"/>
      <c r="H240" s="144"/>
      <c r="I240" s="144"/>
      <c r="J240" s="145"/>
      <c r="K240" s="145"/>
      <c r="L240" s="148"/>
      <c r="M240" s="155"/>
      <c r="N240" s="144"/>
      <c r="O240" s="144"/>
      <c r="P240" s="144"/>
      <c r="Q240" s="145"/>
      <c r="R240" s="145"/>
      <c r="S240" s="154"/>
      <c r="T240" s="155"/>
      <c r="U240" s="144"/>
      <c r="V240" s="144"/>
    </row>
    <row r="241" spans="1:22" ht="14" x14ac:dyDescent="0.15">
      <c r="A241" s="144"/>
      <c r="B241" s="144"/>
      <c r="C241" s="145"/>
      <c r="D241" s="145"/>
      <c r="E241" s="148"/>
      <c r="F241" s="147"/>
      <c r="G241" s="144"/>
      <c r="H241" s="144"/>
      <c r="I241" s="144"/>
      <c r="J241" s="145"/>
      <c r="K241" s="145"/>
      <c r="L241" s="148"/>
      <c r="M241" s="155"/>
      <c r="N241" s="144"/>
      <c r="O241" s="144"/>
      <c r="P241" s="144"/>
      <c r="Q241" s="145"/>
      <c r="R241" s="145"/>
      <c r="S241" s="154"/>
      <c r="T241" s="155"/>
      <c r="U241" s="144"/>
      <c r="V241" s="144"/>
    </row>
    <row r="242" spans="1:22" ht="14" x14ac:dyDescent="0.15">
      <c r="A242" s="144"/>
      <c r="B242" s="144"/>
      <c r="C242" s="145"/>
      <c r="D242" s="145"/>
      <c r="E242" s="148"/>
      <c r="F242" s="147"/>
      <c r="G242" s="144"/>
      <c r="H242" s="144"/>
      <c r="I242" s="144"/>
      <c r="J242" s="145"/>
      <c r="K242" s="145"/>
      <c r="L242" s="148"/>
      <c r="M242" s="155"/>
      <c r="N242" s="144"/>
      <c r="O242" s="144"/>
      <c r="P242" s="144"/>
      <c r="Q242" s="145"/>
      <c r="R242" s="145"/>
      <c r="S242" s="154"/>
      <c r="T242" s="155"/>
      <c r="U242" s="144"/>
      <c r="V242" s="144"/>
    </row>
    <row r="243" spans="1:22" ht="14" x14ac:dyDescent="0.15">
      <c r="A243" s="144"/>
      <c r="B243" s="144"/>
      <c r="C243" s="145"/>
      <c r="D243" s="145"/>
      <c r="E243" s="148"/>
      <c r="F243" s="147"/>
      <c r="G243" s="144"/>
      <c r="H243" s="144"/>
      <c r="I243" s="144"/>
      <c r="J243" s="145"/>
      <c r="K243" s="145"/>
      <c r="L243" s="148"/>
      <c r="M243" s="155"/>
      <c r="N243" s="144"/>
      <c r="O243" s="144"/>
      <c r="P243" s="144"/>
      <c r="Q243" s="145"/>
      <c r="R243" s="145"/>
      <c r="S243" s="154"/>
      <c r="T243" s="155"/>
      <c r="U243" s="144"/>
      <c r="V243" s="144"/>
    </row>
    <row r="244" spans="1:22" ht="14" x14ac:dyDescent="0.15">
      <c r="A244" s="144"/>
      <c r="B244" s="144"/>
      <c r="C244" s="145"/>
      <c r="D244" s="145"/>
      <c r="E244" s="148"/>
      <c r="F244" s="147"/>
      <c r="G244" s="144"/>
      <c r="H244" s="144"/>
      <c r="I244" s="144"/>
      <c r="J244" s="145"/>
      <c r="K244" s="145"/>
      <c r="L244" s="148"/>
      <c r="M244" s="155"/>
      <c r="N244" s="144"/>
      <c r="O244" s="144"/>
      <c r="P244" s="144"/>
      <c r="Q244" s="145"/>
      <c r="R244" s="145"/>
      <c r="S244" s="154"/>
      <c r="T244" s="155"/>
      <c r="U244" s="144"/>
      <c r="V244" s="144"/>
    </row>
    <row r="245" spans="1:22" ht="14" x14ac:dyDescent="0.15">
      <c r="A245" s="144"/>
      <c r="B245" s="144"/>
      <c r="C245" s="145"/>
      <c r="D245" s="145"/>
      <c r="E245" s="148"/>
      <c r="F245" s="147"/>
      <c r="G245" s="144"/>
      <c r="H245" s="144"/>
      <c r="I245" s="144"/>
      <c r="J245" s="145"/>
      <c r="K245" s="145"/>
      <c r="L245" s="148"/>
      <c r="M245" s="155"/>
      <c r="N245" s="144"/>
      <c r="O245" s="144"/>
      <c r="P245" s="144"/>
      <c r="Q245" s="145"/>
      <c r="R245" s="145"/>
      <c r="S245" s="154"/>
      <c r="T245" s="155"/>
      <c r="U245" s="144"/>
      <c r="V245" s="144"/>
    </row>
    <row r="246" spans="1:22" ht="14" x14ac:dyDescent="0.15">
      <c r="A246" s="144"/>
      <c r="B246" s="144"/>
      <c r="C246" s="145"/>
      <c r="D246" s="145"/>
      <c r="E246" s="148"/>
      <c r="F246" s="147"/>
      <c r="G246" s="144"/>
      <c r="H246" s="144"/>
      <c r="I246" s="144"/>
      <c r="J246" s="145"/>
      <c r="K246" s="145"/>
      <c r="L246" s="148"/>
      <c r="M246" s="155"/>
      <c r="N246" s="144"/>
      <c r="O246" s="144"/>
      <c r="P246" s="144"/>
      <c r="Q246" s="145"/>
      <c r="R246" s="145"/>
      <c r="S246" s="154"/>
      <c r="T246" s="155"/>
      <c r="U246" s="144"/>
      <c r="V246" s="144"/>
    </row>
    <row r="247" spans="1:22" ht="14" x14ac:dyDescent="0.15">
      <c r="A247" s="144"/>
      <c r="B247" s="144"/>
      <c r="C247" s="145"/>
      <c r="D247" s="145"/>
      <c r="E247" s="148"/>
      <c r="F247" s="147"/>
      <c r="G247" s="144"/>
      <c r="H247" s="144"/>
      <c r="I247" s="144"/>
      <c r="J247" s="145"/>
      <c r="K247" s="145"/>
      <c r="L247" s="148"/>
      <c r="M247" s="155"/>
      <c r="N247" s="144"/>
      <c r="O247" s="144"/>
      <c r="P247" s="144"/>
      <c r="Q247" s="145"/>
      <c r="R247" s="145"/>
      <c r="S247" s="154"/>
      <c r="T247" s="155"/>
      <c r="U247" s="144"/>
      <c r="V247" s="144"/>
    </row>
    <row r="248" spans="1:22" ht="14" x14ac:dyDescent="0.15">
      <c r="A248" s="144"/>
      <c r="B248" s="144"/>
      <c r="C248" s="145"/>
      <c r="D248" s="145"/>
      <c r="E248" s="148"/>
      <c r="F248" s="147"/>
      <c r="G248" s="144"/>
      <c r="H248" s="144"/>
      <c r="I248" s="144"/>
      <c r="J248" s="145"/>
      <c r="K248" s="145"/>
      <c r="L248" s="148"/>
      <c r="M248" s="155"/>
      <c r="N248" s="144"/>
      <c r="O248" s="144"/>
      <c r="P248" s="144"/>
      <c r="Q248" s="145"/>
      <c r="R248" s="145"/>
      <c r="S248" s="154"/>
      <c r="T248" s="155"/>
      <c r="U248" s="144"/>
      <c r="V248" s="144"/>
    </row>
    <row r="249" spans="1:22" ht="14" x14ac:dyDescent="0.15">
      <c r="A249" s="144"/>
      <c r="B249" s="144"/>
      <c r="C249" s="145"/>
      <c r="D249" s="145"/>
      <c r="E249" s="148"/>
      <c r="F249" s="147"/>
      <c r="G249" s="144"/>
      <c r="H249" s="144"/>
      <c r="I249" s="144"/>
      <c r="J249" s="145"/>
      <c r="K249" s="145"/>
      <c r="L249" s="148"/>
      <c r="M249" s="155"/>
      <c r="N249" s="144"/>
      <c r="O249" s="144"/>
      <c r="P249" s="144"/>
      <c r="Q249" s="145"/>
      <c r="R249" s="145"/>
      <c r="S249" s="154"/>
      <c r="T249" s="155"/>
      <c r="U249" s="144"/>
      <c r="V249" s="144"/>
    </row>
    <row r="250" spans="1:22" ht="14" x14ac:dyDescent="0.15">
      <c r="A250" s="144"/>
      <c r="B250" s="144"/>
      <c r="C250" s="145"/>
      <c r="D250" s="145"/>
      <c r="E250" s="148"/>
      <c r="F250" s="147"/>
      <c r="G250" s="144"/>
      <c r="H250" s="144"/>
      <c r="I250" s="144"/>
      <c r="J250" s="145"/>
      <c r="K250" s="145"/>
      <c r="L250" s="148"/>
      <c r="M250" s="155"/>
      <c r="N250" s="144"/>
      <c r="O250" s="144"/>
      <c r="P250" s="144"/>
      <c r="Q250" s="145"/>
      <c r="R250" s="145"/>
      <c r="S250" s="154"/>
      <c r="T250" s="155"/>
      <c r="U250" s="144"/>
      <c r="V250" s="144"/>
    </row>
    <row r="251" spans="1:22" ht="14" x14ac:dyDescent="0.15">
      <c r="A251" s="144"/>
      <c r="B251" s="144"/>
      <c r="C251" s="145"/>
      <c r="D251" s="145"/>
      <c r="E251" s="148"/>
      <c r="F251" s="147"/>
      <c r="G251" s="144"/>
      <c r="H251" s="144"/>
      <c r="I251" s="144"/>
      <c r="J251" s="145"/>
      <c r="K251" s="145"/>
      <c r="L251" s="148"/>
      <c r="M251" s="155"/>
      <c r="N251" s="144"/>
      <c r="O251" s="144"/>
      <c r="P251" s="144"/>
      <c r="Q251" s="145"/>
      <c r="R251" s="145"/>
      <c r="S251" s="154"/>
      <c r="T251" s="155"/>
      <c r="U251" s="144"/>
      <c r="V251" s="144"/>
    </row>
    <row r="252" spans="1:22" ht="14" x14ac:dyDescent="0.15">
      <c r="A252" s="144"/>
      <c r="B252" s="144"/>
      <c r="C252" s="145"/>
      <c r="D252" s="145"/>
      <c r="E252" s="148"/>
      <c r="F252" s="147"/>
      <c r="G252" s="144"/>
      <c r="H252" s="144"/>
      <c r="I252" s="144"/>
      <c r="J252" s="145"/>
      <c r="K252" s="145"/>
      <c r="L252" s="148"/>
      <c r="M252" s="155"/>
      <c r="N252" s="144"/>
      <c r="O252" s="144"/>
      <c r="P252" s="144"/>
      <c r="Q252" s="145"/>
      <c r="R252" s="145"/>
      <c r="S252" s="154"/>
      <c r="T252" s="155"/>
      <c r="U252" s="144"/>
      <c r="V252" s="144"/>
    </row>
    <row r="253" spans="1:22" ht="14" x14ac:dyDescent="0.15">
      <c r="A253" s="144"/>
      <c r="B253" s="144"/>
      <c r="C253" s="145"/>
      <c r="D253" s="145"/>
      <c r="E253" s="148"/>
      <c r="F253" s="147"/>
      <c r="G253" s="144"/>
      <c r="H253" s="144"/>
      <c r="I253" s="144"/>
      <c r="J253" s="145"/>
      <c r="K253" s="145"/>
      <c r="L253" s="148"/>
      <c r="M253" s="155"/>
      <c r="N253" s="144"/>
      <c r="O253" s="144"/>
      <c r="P253" s="144"/>
      <c r="Q253" s="145"/>
      <c r="R253" s="145"/>
      <c r="S253" s="154"/>
      <c r="T253" s="155"/>
      <c r="U253" s="144"/>
      <c r="V253" s="144"/>
    </row>
    <row r="254" spans="1:22" ht="14" x14ac:dyDescent="0.15">
      <c r="A254" s="144"/>
      <c r="B254" s="144"/>
      <c r="C254" s="145"/>
      <c r="D254" s="145"/>
      <c r="E254" s="148"/>
      <c r="F254" s="147"/>
      <c r="G254" s="144"/>
      <c r="H254" s="144"/>
      <c r="I254" s="144"/>
      <c r="J254" s="145"/>
      <c r="K254" s="145"/>
      <c r="L254" s="148"/>
      <c r="M254" s="155"/>
      <c r="N254" s="144"/>
      <c r="O254" s="144"/>
      <c r="P254" s="144"/>
      <c r="Q254" s="145"/>
      <c r="R254" s="145"/>
      <c r="S254" s="154"/>
      <c r="T254" s="155"/>
      <c r="U254" s="144"/>
      <c r="V254" s="144"/>
    </row>
    <row r="255" spans="1:22" ht="14" x14ac:dyDescent="0.15">
      <c r="A255" s="144"/>
      <c r="B255" s="144"/>
      <c r="C255" s="145"/>
      <c r="D255" s="145"/>
      <c r="E255" s="148"/>
      <c r="F255" s="147"/>
      <c r="G255" s="144"/>
      <c r="H255" s="144"/>
      <c r="I255" s="144"/>
      <c r="J255" s="145"/>
      <c r="K255" s="145"/>
      <c r="L255" s="148"/>
      <c r="M255" s="155"/>
      <c r="N255" s="144"/>
      <c r="O255" s="144"/>
      <c r="P255" s="144"/>
      <c r="Q255" s="145"/>
      <c r="R255" s="145"/>
      <c r="S255" s="154"/>
      <c r="T255" s="155"/>
      <c r="U255" s="144"/>
      <c r="V255" s="144"/>
    </row>
    <row r="256" spans="1:22" ht="14" x14ac:dyDescent="0.15">
      <c r="A256" s="144"/>
      <c r="B256" s="144"/>
      <c r="C256" s="145"/>
      <c r="D256" s="145"/>
      <c r="E256" s="148"/>
      <c r="F256" s="147"/>
      <c r="G256" s="144"/>
      <c r="H256" s="144"/>
      <c r="I256" s="144"/>
      <c r="J256" s="145"/>
      <c r="K256" s="145"/>
      <c r="L256" s="148"/>
      <c r="M256" s="155"/>
      <c r="N256" s="144"/>
      <c r="O256" s="144"/>
      <c r="P256" s="144"/>
      <c r="Q256" s="145"/>
      <c r="R256" s="145"/>
      <c r="S256" s="154"/>
      <c r="T256" s="155"/>
      <c r="U256" s="144"/>
      <c r="V256" s="144"/>
    </row>
    <row r="257" spans="1:22" ht="14" x14ac:dyDescent="0.15">
      <c r="A257" s="144"/>
      <c r="B257" s="144"/>
      <c r="C257" s="145"/>
      <c r="D257" s="145"/>
      <c r="E257" s="148"/>
      <c r="F257" s="147"/>
      <c r="G257" s="144"/>
      <c r="H257" s="144"/>
      <c r="I257" s="144"/>
      <c r="J257" s="145"/>
      <c r="K257" s="145"/>
      <c r="L257" s="148"/>
      <c r="M257" s="155"/>
      <c r="N257" s="144"/>
      <c r="O257" s="144"/>
      <c r="P257" s="144"/>
      <c r="Q257" s="145"/>
      <c r="R257" s="145"/>
      <c r="S257" s="154"/>
      <c r="T257" s="155"/>
      <c r="U257" s="144"/>
      <c r="V257" s="144"/>
    </row>
    <row r="258" spans="1:22" ht="14" x14ac:dyDescent="0.15">
      <c r="A258" s="144"/>
      <c r="B258" s="144"/>
      <c r="C258" s="145"/>
      <c r="D258" s="145"/>
      <c r="E258" s="148"/>
      <c r="F258" s="147"/>
      <c r="G258" s="144"/>
      <c r="H258" s="144"/>
      <c r="I258" s="144"/>
      <c r="J258" s="145"/>
      <c r="K258" s="145"/>
      <c r="L258" s="148"/>
      <c r="M258" s="155"/>
      <c r="N258" s="144"/>
      <c r="O258" s="144"/>
      <c r="P258" s="144"/>
      <c r="Q258" s="145"/>
      <c r="R258" s="145"/>
      <c r="S258" s="154"/>
      <c r="T258" s="155"/>
      <c r="U258" s="144"/>
      <c r="V258" s="144"/>
    </row>
    <row r="259" spans="1:22" ht="14" x14ac:dyDescent="0.15">
      <c r="A259" s="144"/>
      <c r="B259" s="144"/>
      <c r="C259" s="145"/>
      <c r="D259" s="145"/>
      <c r="E259" s="148"/>
      <c r="F259" s="147"/>
      <c r="G259" s="144"/>
      <c r="H259" s="144"/>
      <c r="I259" s="144"/>
      <c r="J259" s="145"/>
      <c r="K259" s="145"/>
      <c r="L259" s="148"/>
      <c r="M259" s="155"/>
      <c r="N259" s="144"/>
      <c r="O259" s="144"/>
      <c r="P259" s="144"/>
      <c r="Q259" s="145"/>
      <c r="R259" s="145"/>
      <c r="S259" s="154"/>
      <c r="T259" s="155"/>
      <c r="U259" s="144"/>
      <c r="V259" s="144"/>
    </row>
    <row r="260" spans="1:22" ht="14" x14ac:dyDescent="0.15">
      <c r="A260" s="144"/>
      <c r="B260" s="144"/>
      <c r="C260" s="145"/>
      <c r="D260" s="145"/>
      <c r="E260" s="148"/>
      <c r="F260" s="147"/>
      <c r="G260" s="144"/>
      <c r="H260" s="144"/>
      <c r="I260" s="144"/>
      <c r="J260" s="145"/>
      <c r="K260" s="145"/>
      <c r="L260" s="148"/>
      <c r="M260" s="155"/>
      <c r="N260" s="144"/>
      <c r="O260" s="144"/>
      <c r="P260" s="144"/>
      <c r="Q260" s="145"/>
      <c r="R260" s="145"/>
      <c r="S260" s="154"/>
      <c r="T260" s="155"/>
      <c r="U260" s="144"/>
      <c r="V260" s="144"/>
    </row>
    <row r="261" spans="1:22" ht="14" x14ac:dyDescent="0.15">
      <c r="A261" s="144"/>
      <c r="B261" s="144"/>
      <c r="C261" s="145"/>
      <c r="D261" s="145"/>
      <c r="E261" s="148"/>
      <c r="F261" s="147"/>
      <c r="G261" s="144"/>
      <c r="H261" s="144"/>
      <c r="I261" s="144"/>
      <c r="J261" s="145"/>
      <c r="K261" s="145"/>
      <c r="L261" s="148"/>
      <c r="M261" s="155"/>
      <c r="N261" s="144"/>
      <c r="O261" s="144"/>
      <c r="P261" s="144"/>
      <c r="Q261" s="145"/>
      <c r="R261" s="145"/>
      <c r="S261" s="154"/>
      <c r="T261" s="155"/>
      <c r="U261" s="144"/>
      <c r="V261" s="144"/>
    </row>
    <row r="262" spans="1:22" ht="14" x14ac:dyDescent="0.15">
      <c r="A262" s="144"/>
      <c r="B262" s="144"/>
      <c r="C262" s="145"/>
      <c r="D262" s="145"/>
      <c r="E262" s="148"/>
      <c r="F262" s="147"/>
      <c r="G262" s="144"/>
      <c r="H262" s="144"/>
      <c r="I262" s="144"/>
      <c r="J262" s="145"/>
      <c r="K262" s="145"/>
      <c r="L262" s="148"/>
      <c r="M262" s="155"/>
      <c r="N262" s="144"/>
      <c r="O262" s="144"/>
      <c r="P262" s="144"/>
      <c r="Q262" s="145"/>
      <c r="R262" s="145"/>
      <c r="S262" s="154"/>
      <c r="T262" s="155"/>
      <c r="U262" s="144"/>
      <c r="V262" s="144"/>
    </row>
    <row r="263" spans="1:22" ht="14" x14ac:dyDescent="0.15">
      <c r="A263" s="144"/>
      <c r="B263" s="144"/>
      <c r="C263" s="145"/>
      <c r="D263" s="145"/>
      <c r="E263" s="148"/>
      <c r="F263" s="147"/>
      <c r="G263" s="144"/>
      <c r="H263" s="144"/>
      <c r="I263" s="144"/>
      <c r="J263" s="145"/>
      <c r="K263" s="145"/>
      <c r="L263" s="148"/>
      <c r="M263" s="155"/>
      <c r="N263" s="144"/>
      <c r="O263" s="144"/>
      <c r="P263" s="144"/>
      <c r="Q263" s="145"/>
      <c r="R263" s="145"/>
      <c r="S263" s="154"/>
      <c r="T263" s="155"/>
      <c r="U263" s="144"/>
      <c r="V263" s="144"/>
    </row>
    <row r="264" spans="1:22" ht="14" x14ac:dyDescent="0.15">
      <c r="A264" s="144"/>
      <c r="B264" s="144"/>
      <c r="C264" s="145"/>
      <c r="D264" s="145"/>
      <c r="E264" s="148"/>
      <c r="F264" s="147"/>
      <c r="G264" s="144"/>
      <c r="H264" s="144"/>
      <c r="I264" s="144"/>
      <c r="J264" s="145"/>
      <c r="K264" s="145"/>
      <c r="L264" s="148"/>
      <c r="M264" s="155"/>
      <c r="N264" s="144"/>
      <c r="O264" s="144"/>
      <c r="P264" s="144"/>
      <c r="Q264" s="145"/>
      <c r="R264" s="145"/>
      <c r="S264" s="154"/>
      <c r="T264" s="155"/>
      <c r="U264" s="144"/>
      <c r="V264" s="144"/>
    </row>
    <row r="265" spans="1:22" ht="14" x14ac:dyDescent="0.15">
      <c r="A265" s="144"/>
      <c r="B265" s="144"/>
      <c r="C265" s="145"/>
      <c r="D265" s="145"/>
      <c r="E265" s="148"/>
      <c r="F265" s="147"/>
      <c r="G265" s="144"/>
      <c r="H265" s="144"/>
      <c r="I265" s="144"/>
      <c r="J265" s="145"/>
      <c r="K265" s="145"/>
      <c r="L265" s="148"/>
      <c r="M265" s="155"/>
      <c r="N265" s="144"/>
      <c r="O265" s="144"/>
      <c r="P265" s="144"/>
      <c r="Q265" s="145"/>
      <c r="R265" s="145"/>
      <c r="S265" s="154"/>
      <c r="T265" s="155"/>
      <c r="U265" s="144"/>
      <c r="V265" s="144"/>
    </row>
    <row r="266" spans="1:22" ht="14" x14ac:dyDescent="0.15">
      <c r="A266" s="144"/>
      <c r="B266" s="144"/>
      <c r="C266" s="145"/>
      <c r="D266" s="145"/>
      <c r="E266" s="148"/>
      <c r="F266" s="147"/>
      <c r="G266" s="144"/>
      <c r="H266" s="144"/>
      <c r="I266" s="144"/>
      <c r="J266" s="145"/>
      <c r="K266" s="145"/>
      <c r="L266" s="148"/>
      <c r="M266" s="155"/>
      <c r="N266" s="144"/>
      <c r="O266" s="144"/>
      <c r="P266" s="144"/>
      <c r="Q266" s="145"/>
      <c r="R266" s="145"/>
      <c r="S266" s="154"/>
      <c r="T266" s="155"/>
      <c r="U266" s="144"/>
      <c r="V266" s="144"/>
    </row>
    <row r="267" spans="1:22" ht="14" x14ac:dyDescent="0.15">
      <c r="A267" s="144"/>
      <c r="B267" s="144"/>
      <c r="C267" s="145"/>
      <c r="D267" s="145"/>
      <c r="E267" s="148"/>
      <c r="F267" s="147"/>
      <c r="G267" s="144"/>
      <c r="H267" s="144"/>
      <c r="I267" s="144"/>
      <c r="J267" s="145"/>
      <c r="K267" s="145"/>
      <c r="L267" s="148"/>
      <c r="M267" s="155"/>
      <c r="N267" s="144"/>
      <c r="O267" s="144"/>
      <c r="P267" s="144"/>
      <c r="Q267" s="145"/>
      <c r="R267" s="145"/>
      <c r="S267" s="154"/>
      <c r="T267" s="155"/>
      <c r="U267" s="144"/>
      <c r="V267" s="144"/>
    </row>
    <row r="268" spans="1:22" ht="14" x14ac:dyDescent="0.15">
      <c r="A268" s="144"/>
      <c r="B268" s="144"/>
      <c r="C268" s="145"/>
      <c r="D268" s="145"/>
      <c r="E268" s="148"/>
      <c r="F268" s="147"/>
      <c r="G268" s="144"/>
      <c r="H268" s="144"/>
      <c r="I268" s="144"/>
      <c r="J268" s="145"/>
      <c r="K268" s="145"/>
      <c r="L268" s="148"/>
      <c r="M268" s="155"/>
      <c r="N268" s="144"/>
      <c r="O268" s="144"/>
      <c r="P268" s="144"/>
      <c r="Q268" s="145"/>
      <c r="R268" s="145"/>
      <c r="S268" s="154"/>
      <c r="T268" s="155"/>
      <c r="U268" s="144"/>
      <c r="V268" s="144"/>
    </row>
    <row r="269" spans="1:22" ht="14" x14ac:dyDescent="0.15">
      <c r="A269" s="144"/>
      <c r="B269" s="144"/>
      <c r="C269" s="145"/>
      <c r="D269" s="145"/>
      <c r="E269" s="148"/>
      <c r="F269" s="147"/>
      <c r="G269" s="144"/>
      <c r="H269" s="144"/>
      <c r="I269" s="144"/>
      <c r="J269" s="145"/>
      <c r="K269" s="145"/>
      <c r="L269" s="148"/>
      <c r="M269" s="155"/>
      <c r="N269" s="144"/>
      <c r="O269" s="144"/>
      <c r="P269" s="144"/>
      <c r="Q269" s="145"/>
      <c r="R269" s="145"/>
      <c r="S269" s="154"/>
      <c r="T269" s="155"/>
      <c r="U269" s="144"/>
      <c r="V269" s="144"/>
    </row>
    <row r="270" spans="1:22" ht="14" x14ac:dyDescent="0.15">
      <c r="A270" s="144"/>
      <c r="B270" s="144"/>
      <c r="C270" s="145"/>
      <c r="D270" s="145"/>
      <c r="E270" s="148"/>
      <c r="F270" s="147"/>
      <c r="G270" s="144"/>
      <c r="H270" s="144"/>
      <c r="I270" s="144"/>
      <c r="J270" s="145"/>
      <c r="K270" s="145"/>
      <c r="L270" s="148"/>
      <c r="M270" s="155"/>
      <c r="N270" s="144"/>
      <c r="O270" s="144"/>
      <c r="P270" s="144"/>
      <c r="Q270" s="145"/>
      <c r="R270" s="145"/>
      <c r="S270" s="154"/>
      <c r="T270" s="155"/>
      <c r="U270" s="144"/>
      <c r="V270" s="144"/>
    </row>
    <row r="271" spans="1:22" ht="14" x14ac:dyDescent="0.15">
      <c r="A271" s="144"/>
      <c r="B271" s="144"/>
      <c r="C271" s="145"/>
      <c r="D271" s="145"/>
      <c r="E271" s="148"/>
      <c r="F271" s="147"/>
      <c r="G271" s="144"/>
      <c r="H271" s="144"/>
      <c r="I271" s="144"/>
      <c r="J271" s="145"/>
      <c r="K271" s="145"/>
      <c r="L271" s="148"/>
      <c r="M271" s="155"/>
      <c r="N271" s="144"/>
      <c r="O271" s="144"/>
      <c r="P271" s="144"/>
      <c r="Q271" s="145"/>
      <c r="R271" s="145"/>
      <c r="S271" s="154"/>
      <c r="T271" s="155"/>
      <c r="U271" s="144"/>
      <c r="V271" s="144"/>
    </row>
    <row r="272" spans="1:22" ht="14" x14ac:dyDescent="0.15">
      <c r="A272" s="144"/>
      <c r="B272" s="144"/>
      <c r="C272" s="145"/>
      <c r="D272" s="145"/>
      <c r="E272" s="148"/>
      <c r="F272" s="147"/>
      <c r="G272" s="144"/>
      <c r="H272" s="144"/>
      <c r="I272" s="144"/>
      <c r="J272" s="145"/>
      <c r="K272" s="145"/>
      <c r="L272" s="148"/>
      <c r="M272" s="155"/>
      <c r="N272" s="144"/>
      <c r="O272" s="144"/>
      <c r="P272" s="144"/>
      <c r="Q272" s="145"/>
      <c r="R272" s="145"/>
      <c r="S272" s="154"/>
      <c r="T272" s="155"/>
      <c r="U272" s="144"/>
      <c r="V272" s="144"/>
    </row>
    <row r="273" spans="1:22" ht="14" x14ac:dyDescent="0.15">
      <c r="A273" s="144"/>
      <c r="B273" s="144"/>
      <c r="C273" s="145"/>
      <c r="D273" s="145"/>
      <c r="E273" s="148"/>
      <c r="F273" s="147"/>
      <c r="G273" s="144"/>
      <c r="H273" s="144"/>
      <c r="I273" s="144"/>
      <c r="J273" s="145"/>
      <c r="K273" s="145"/>
      <c r="L273" s="148"/>
      <c r="M273" s="155"/>
      <c r="N273" s="144"/>
      <c r="O273" s="144"/>
      <c r="P273" s="144"/>
      <c r="Q273" s="145"/>
      <c r="R273" s="145"/>
      <c r="S273" s="154"/>
      <c r="T273" s="155"/>
      <c r="U273" s="144"/>
      <c r="V273" s="144"/>
    </row>
    <row r="274" spans="1:22" ht="14" x14ac:dyDescent="0.15">
      <c r="A274" s="144"/>
      <c r="B274" s="144"/>
      <c r="C274" s="145"/>
      <c r="D274" s="145"/>
      <c r="E274" s="148"/>
      <c r="F274" s="147"/>
      <c r="G274" s="144"/>
      <c r="H274" s="144"/>
      <c r="I274" s="144"/>
      <c r="J274" s="145"/>
      <c r="K274" s="145"/>
      <c r="L274" s="148"/>
      <c r="M274" s="155"/>
      <c r="N274" s="144"/>
      <c r="O274" s="144"/>
      <c r="P274" s="144"/>
      <c r="Q274" s="145"/>
      <c r="R274" s="145"/>
      <c r="S274" s="154"/>
      <c r="T274" s="155"/>
      <c r="U274" s="144"/>
      <c r="V274" s="144"/>
    </row>
    <row r="275" spans="1:22" ht="14" x14ac:dyDescent="0.15">
      <c r="A275" s="144"/>
      <c r="B275" s="144"/>
      <c r="C275" s="145"/>
      <c r="D275" s="145"/>
      <c r="E275" s="148"/>
      <c r="F275" s="147"/>
      <c r="G275" s="144"/>
      <c r="H275" s="144"/>
      <c r="I275" s="144"/>
      <c r="J275" s="145"/>
      <c r="K275" s="145"/>
      <c r="L275" s="148"/>
      <c r="M275" s="155"/>
      <c r="N275" s="144"/>
      <c r="O275" s="144"/>
      <c r="P275" s="144"/>
      <c r="Q275" s="145"/>
      <c r="R275" s="145"/>
      <c r="S275" s="154"/>
      <c r="T275" s="155"/>
      <c r="U275" s="144"/>
      <c r="V275" s="144"/>
    </row>
    <row r="276" spans="1:22" ht="14" x14ac:dyDescent="0.15">
      <c r="A276" s="144"/>
      <c r="B276" s="144"/>
      <c r="C276" s="145"/>
      <c r="D276" s="145"/>
      <c r="E276" s="148"/>
      <c r="F276" s="147"/>
      <c r="G276" s="144"/>
      <c r="H276" s="144"/>
      <c r="I276" s="144"/>
      <c r="J276" s="145"/>
      <c r="K276" s="145"/>
      <c r="L276" s="148"/>
      <c r="M276" s="155"/>
      <c r="N276" s="144"/>
      <c r="O276" s="144"/>
      <c r="P276" s="144"/>
      <c r="Q276" s="145"/>
      <c r="R276" s="145"/>
      <c r="S276" s="154"/>
      <c r="T276" s="155"/>
      <c r="U276" s="144"/>
      <c r="V276" s="144"/>
    </row>
    <row r="277" spans="1:22" ht="14" x14ac:dyDescent="0.15">
      <c r="A277" s="144"/>
      <c r="B277" s="144"/>
      <c r="C277" s="145"/>
      <c r="D277" s="145"/>
      <c r="E277" s="148"/>
      <c r="F277" s="147"/>
      <c r="G277" s="144"/>
      <c r="H277" s="144"/>
      <c r="I277" s="144"/>
      <c r="J277" s="145"/>
      <c r="K277" s="145"/>
      <c r="L277" s="148"/>
      <c r="M277" s="155"/>
      <c r="N277" s="144"/>
      <c r="O277" s="144"/>
      <c r="P277" s="144"/>
      <c r="Q277" s="145"/>
      <c r="R277" s="145"/>
      <c r="S277" s="154"/>
      <c r="T277" s="155"/>
      <c r="U277" s="144"/>
      <c r="V277" s="144"/>
    </row>
    <row r="278" spans="1:22" ht="14" x14ac:dyDescent="0.15">
      <c r="A278" s="144"/>
      <c r="B278" s="144"/>
      <c r="C278" s="145"/>
      <c r="D278" s="145"/>
      <c r="E278" s="148"/>
      <c r="F278" s="147"/>
      <c r="G278" s="144"/>
      <c r="H278" s="144"/>
      <c r="I278" s="144"/>
      <c r="J278" s="145"/>
      <c r="K278" s="145"/>
      <c r="L278" s="148"/>
      <c r="M278" s="155"/>
      <c r="N278" s="144"/>
      <c r="O278" s="144"/>
      <c r="P278" s="144"/>
      <c r="Q278" s="145"/>
      <c r="R278" s="145"/>
      <c r="S278" s="154"/>
      <c r="T278" s="155"/>
      <c r="U278" s="144"/>
      <c r="V278" s="144"/>
    </row>
    <row r="279" spans="1:22" ht="14" x14ac:dyDescent="0.15">
      <c r="A279" s="144"/>
      <c r="B279" s="144"/>
      <c r="C279" s="145"/>
      <c r="D279" s="145"/>
      <c r="E279" s="148"/>
      <c r="F279" s="147"/>
      <c r="G279" s="144"/>
      <c r="H279" s="144"/>
      <c r="I279" s="144"/>
      <c r="J279" s="145"/>
      <c r="K279" s="145"/>
      <c r="L279" s="148"/>
      <c r="M279" s="155"/>
      <c r="N279" s="144"/>
      <c r="O279" s="144"/>
      <c r="P279" s="144"/>
      <c r="Q279" s="145"/>
      <c r="R279" s="145"/>
      <c r="S279" s="154"/>
      <c r="T279" s="155"/>
      <c r="U279" s="144"/>
      <c r="V279" s="144"/>
    </row>
    <row r="280" spans="1:22" ht="14" x14ac:dyDescent="0.15">
      <c r="A280" s="144"/>
      <c r="B280" s="144"/>
      <c r="C280" s="145"/>
      <c r="D280" s="145"/>
      <c r="E280" s="148"/>
      <c r="F280" s="147"/>
      <c r="G280" s="144"/>
      <c r="H280" s="144"/>
      <c r="I280" s="144"/>
      <c r="J280" s="145"/>
      <c r="K280" s="145"/>
      <c r="L280" s="148"/>
      <c r="M280" s="155"/>
      <c r="N280" s="144"/>
      <c r="O280" s="144"/>
      <c r="P280" s="144"/>
      <c r="Q280" s="145"/>
      <c r="R280" s="145"/>
      <c r="S280" s="154"/>
      <c r="T280" s="155"/>
      <c r="U280" s="144"/>
      <c r="V280" s="144"/>
    </row>
    <row r="281" spans="1:22" ht="14" x14ac:dyDescent="0.15">
      <c r="A281" s="144"/>
      <c r="B281" s="144"/>
      <c r="C281" s="145"/>
      <c r="D281" s="145"/>
      <c r="E281" s="148"/>
      <c r="F281" s="147"/>
      <c r="G281" s="144"/>
      <c r="H281" s="144"/>
      <c r="I281" s="144"/>
      <c r="J281" s="145"/>
      <c r="K281" s="145"/>
      <c r="L281" s="148"/>
      <c r="M281" s="155"/>
      <c r="N281" s="144"/>
      <c r="O281" s="144"/>
      <c r="P281" s="144"/>
      <c r="Q281" s="145"/>
      <c r="R281" s="145"/>
      <c r="S281" s="154"/>
      <c r="T281" s="155"/>
      <c r="U281" s="144"/>
      <c r="V281" s="144"/>
    </row>
    <row r="282" spans="1:22" ht="14" x14ac:dyDescent="0.15">
      <c r="A282" s="144"/>
      <c r="B282" s="144"/>
      <c r="C282" s="145"/>
      <c r="D282" s="145"/>
      <c r="E282" s="148"/>
      <c r="F282" s="147"/>
      <c r="G282" s="144"/>
      <c r="H282" s="144"/>
      <c r="I282" s="144"/>
      <c r="J282" s="145"/>
      <c r="K282" s="145"/>
      <c r="L282" s="148"/>
      <c r="M282" s="155"/>
      <c r="N282" s="144"/>
      <c r="O282" s="144"/>
      <c r="P282" s="144"/>
      <c r="Q282" s="145"/>
      <c r="R282" s="145"/>
      <c r="S282" s="154"/>
      <c r="T282" s="155"/>
      <c r="U282" s="144"/>
      <c r="V282" s="144"/>
    </row>
    <row r="283" spans="1:22" ht="14" x14ac:dyDescent="0.15">
      <c r="A283" s="144"/>
      <c r="B283" s="144"/>
      <c r="C283" s="145"/>
      <c r="D283" s="145"/>
      <c r="E283" s="148"/>
      <c r="F283" s="147"/>
      <c r="G283" s="144"/>
      <c r="H283" s="144"/>
      <c r="I283" s="144"/>
      <c r="J283" s="145"/>
      <c r="K283" s="145"/>
      <c r="L283" s="148"/>
      <c r="M283" s="155"/>
      <c r="N283" s="144"/>
      <c r="O283" s="144"/>
      <c r="P283" s="144"/>
      <c r="Q283" s="145"/>
      <c r="R283" s="145"/>
      <c r="S283" s="154"/>
      <c r="T283" s="155"/>
      <c r="U283" s="144"/>
      <c r="V283" s="144"/>
    </row>
    <row r="284" spans="1:22" ht="14" x14ac:dyDescent="0.15">
      <c r="A284" s="144"/>
      <c r="B284" s="144"/>
      <c r="C284" s="145"/>
      <c r="D284" s="145"/>
      <c r="E284" s="148"/>
      <c r="F284" s="147"/>
      <c r="G284" s="144"/>
      <c r="H284" s="144"/>
      <c r="I284" s="144"/>
      <c r="J284" s="145"/>
      <c r="K284" s="145"/>
      <c r="L284" s="148"/>
      <c r="M284" s="155"/>
      <c r="N284" s="144"/>
      <c r="O284" s="144"/>
      <c r="P284" s="144"/>
      <c r="Q284" s="145"/>
      <c r="R284" s="145"/>
      <c r="S284" s="154"/>
      <c r="T284" s="155"/>
      <c r="U284" s="144"/>
      <c r="V284" s="144"/>
    </row>
    <row r="285" spans="1:22" ht="14" x14ac:dyDescent="0.15">
      <c r="A285" s="144"/>
      <c r="B285" s="144"/>
      <c r="C285" s="145"/>
      <c r="D285" s="145"/>
      <c r="E285" s="148"/>
      <c r="F285" s="147"/>
      <c r="G285" s="144"/>
      <c r="H285" s="144"/>
      <c r="I285" s="144"/>
      <c r="J285" s="145"/>
      <c r="K285" s="145"/>
      <c r="L285" s="148"/>
      <c r="M285" s="155"/>
      <c r="N285" s="144"/>
      <c r="O285" s="144"/>
      <c r="P285" s="144"/>
      <c r="Q285" s="145"/>
      <c r="R285" s="145"/>
      <c r="S285" s="154"/>
      <c r="T285" s="155"/>
      <c r="U285" s="144"/>
      <c r="V285" s="144"/>
    </row>
    <row r="286" spans="1:22" ht="14" x14ac:dyDescent="0.15">
      <c r="A286" s="144"/>
      <c r="B286" s="144"/>
      <c r="C286" s="145"/>
      <c r="D286" s="145"/>
      <c r="E286" s="148"/>
      <c r="F286" s="147"/>
      <c r="G286" s="144"/>
      <c r="H286" s="144"/>
      <c r="I286" s="144"/>
      <c r="J286" s="145"/>
      <c r="K286" s="145"/>
      <c r="L286" s="148"/>
      <c r="M286" s="155"/>
      <c r="N286" s="144"/>
      <c r="O286" s="144"/>
      <c r="P286" s="144"/>
      <c r="Q286" s="145"/>
      <c r="R286" s="145"/>
      <c r="S286" s="154"/>
      <c r="T286" s="155"/>
      <c r="U286" s="144"/>
      <c r="V286" s="144"/>
    </row>
    <row r="287" spans="1:22" ht="14" x14ac:dyDescent="0.15">
      <c r="A287" s="144"/>
      <c r="B287" s="144"/>
      <c r="C287" s="145"/>
      <c r="D287" s="145"/>
      <c r="E287" s="148"/>
      <c r="F287" s="147"/>
      <c r="G287" s="144"/>
      <c r="H287" s="144"/>
      <c r="I287" s="144"/>
      <c r="J287" s="145"/>
      <c r="K287" s="145"/>
      <c r="L287" s="148"/>
      <c r="M287" s="155"/>
      <c r="N287" s="144"/>
      <c r="O287" s="144"/>
      <c r="P287" s="144"/>
      <c r="Q287" s="145"/>
      <c r="R287" s="145"/>
      <c r="S287" s="154"/>
      <c r="T287" s="155"/>
      <c r="U287" s="144"/>
      <c r="V287" s="144"/>
    </row>
    <row r="288" spans="1:22" ht="14" x14ac:dyDescent="0.15">
      <c r="A288" s="144"/>
      <c r="B288" s="144"/>
      <c r="C288" s="145"/>
      <c r="D288" s="145"/>
      <c r="E288" s="148"/>
      <c r="F288" s="147"/>
      <c r="G288" s="144"/>
      <c r="H288" s="144"/>
      <c r="I288" s="144"/>
      <c r="J288" s="145"/>
      <c r="K288" s="145"/>
      <c r="L288" s="148"/>
      <c r="M288" s="155"/>
      <c r="N288" s="144"/>
      <c r="O288" s="144"/>
      <c r="P288" s="144"/>
      <c r="Q288" s="145"/>
      <c r="R288" s="145"/>
      <c r="S288" s="154"/>
      <c r="T288" s="155"/>
      <c r="U288" s="144"/>
      <c r="V288" s="144"/>
    </row>
    <row r="289" spans="1:22" ht="14" x14ac:dyDescent="0.15">
      <c r="A289" s="144"/>
      <c r="B289" s="144"/>
      <c r="C289" s="145"/>
      <c r="D289" s="145"/>
      <c r="E289" s="148"/>
      <c r="F289" s="147"/>
      <c r="G289" s="144"/>
      <c r="H289" s="144"/>
      <c r="I289" s="144"/>
      <c r="J289" s="145"/>
      <c r="K289" s="145"/>
      <c r="L289" s="148"/>
      <c r="M289" s="155"/>
      <c r="N289" s="144"/>
      <c r="O289" s="144"/>
      <c r="P289" s="144"/>
      <c r="Q289" s="145"/>
      <c r="R289" s="145"/>
      <c r="S289" s="154"/>
      <c r="T289" s="155"/>
      <c r="U289" s="144"/>
      <c r="V289" s="144"/>
    </row>
    <row r="290" spans="1:22" ht="14" x14ac:dyDescent="0.15">
      <c r="A290" s="144"/>
      <c r="B290" s="144"/>
      <c r="C290" s="145"/>
      <c r="D290" s="145"/>
      <c r="E290" s="148"/>
      <c r="F290" s="147"/>
      <c r="G290" s="144"/>
      <c r="H290" s="144"/>
      <c r="I290" s="144"/>
      <c r="J290" s="145"/>
      <c r="K290" s="145"/>
      <c r="L290" s="148"/>
      <c r="M290" s="155"/>
      <c r="N290" s="144"/>
      <c r="O290" s="144"/>
      <c r="P290" s="144"/>
      <c r="Q290" s="145"/>
      <c r="R290" s="145"/>
      <c r="S290" s="154"/>
      <c r="T290" s="155"/>
      <c r="U290" s="144"/>
      <c r="V290" s="144"/>
    </row>
    <row r="291" spans="1:22" ht="14" x14ac:dyDescent="0.15">
      <c r="A291" s="144"/>
      <c r="B291" s="144"/>
      <c r="C291" s="145"/>
      <c r="D291" s="145"/>
      <c r="E291" s="148"/>
      <c r="F291" s="147"/>
      <c r="G291" s="144"/>
      <c r="H291" s="144"/>
      <c r="I291" s="144"/>
      <c r="J291" s="145"/>
      <c r="K291" s="145"/>
      <c r="L291" s="148"/>
      <c r="M291" s="155"/>
      <c r="N291" s="144"/>
      <c r="O291" s="144"/>
      <c r="P291" s="144"/>
      <c r="Q291" s="145"/>
      <c r="R291" s="145"/>
      <c r="S291" s="154"/>
      <c r="T291" s="155"/>
      <c r="U291" s="144"/>
      <c r="V291" s="144"/>
    </row>
    <row r="292" spans="1:22" ht="14" x14ac:dyDescent="0.15">
      <c r="A292" s="144"/>
      <c r="B292" s="144"/>
      <c r="C292" s="145"/>
      <c r="D292" s="145"/>
      <c r="E292" s="148"/>
      <c r="F292" s="147"/>
      <c r="G292" s="144"/>
      <c r="H292" s="144"/>
      <c r="I292" s="144"/>
      <c r="J292" s="145"/>
      <c r="K292" s="145"/>
      <c r="L292" s="148"/>
      <c r="M292" s="155"/>
      <c r="N292" s="144"/>
      <c r="O292" s="144"/>
      <c r="P292" s="144"/>
      <c r="Q292" s="145"/>
      <c r="R292" s="145"/>
      <c r="S292" s="154"/>
      <c r="T292" s="155"/>
      <c r="U292" s="144"/>
      <c r="V292" s="144"/>
    </row>
    <row r="293" spans="1:22" ht="14" x14ac:dyDescent="0.15">
      <c r="A293" s="144"/>
      <c r="B293" s="144"/>
      <c r="C293" s="145"/>
      <c r="D293" s="145"/>
      <c r="E293" s="148"/>
      <c r="F293" s="147"/>
      <c r="G293" s="144"/>
      <c r="H293" s="144"/>
      <c r="I293" s="144"/>
      <c r="J293" s="145"/>
      <c r="K293" s="145"/>
      <c r="L293" s="148"/>
      <c r="M293" s="155"/>
      <c r="N293" s="144"/>
      <c r="O293" s="144"/>
      <c r="P293" s="144"/>
      <c r="Q293" s="145"/>
      <c r="R293" s="145"/>
      <c r="S293" s="154"/>
      <c r="T293" s="155"/>
      <c r="U293" s="144"/>
      <c r="V293" s="144"/>
    </row>
    <row r="294" spans="1:22" ht="14" x14ac:dyDescent="0.15">
      <c r="A294" s="144"/>
      <c r="B294" s="144"/>
      <c r="C294" s="145"/>
      <c r="D294" s="145"/>
      <c r="E294" s="148"/>
      <c r="F294" s="147"/>
      <c r="G294" s="144"/>
      <c r="H294" s="144"/>
      <c r="I294" s="144"/>
      <c r="J294" s="145"/>
      <c r="K294" s="145"/>
      <c r="L294" s="148"/>
      <c r="M294" s="155"/>
      <c r="N294" s="144"/>
      <c r="O294" s="144"/>
      <c r="P294" s="144"/>
      <c r="Q294" s="145"/>
      <c r="R294" s="145"/>
      <c r="S294" s="154"/>
      <c r="T294" s="155"/>
      <c r="U294" s="144"/>
      <c r="V294" s="144"/>
    </row>
    <row r="295" spans="1:22" ht="14" x14ac:dyDescent="0.15">
      <c r="A295" s="144"/>
      <c r="B295" s="144"/>
      <c r="C295" s="145"/>
      <c r="D295" s="145"/>
      <c r="E295" s="148"/>
      <c r="F295" s="147"/>
      <c r="G295" s="144"/>
      <c r="H295" s="144"/>
      <c r="I295" s="144"/>
      <c r="J295" s="145"/>
      <c r="K295" s="145"/>
      <c r="L295" s="148"/>
      <c r="M295" s="155"/>
      <c r="N295" s="144"/>
      <c r="O295" s="144"/>
      <c r="P295" s="144"/>
      <c r="Q295" s="145"/>
      <c r="R295" s="145"/>
      <c r="S295" s="154"/>
      <c r="T295" s="155"/>
      <c r="U295" s="144"/>
      <c r="V295" s="144"/>
    </row>
    <row r="296" spans="1:22" ht="14" x14ac:dyDescent="0.15">
      <c r="A296" s="144"/>
      <c r="B296" s="144"/>
      <c r="C296" s="145"/>
      <c r="D296" s="145"/>
      <c r="E296" s="148"/>
      <c r="F296" s="147"/>
      <c r="G296" s="144"/>
      <c r="H296" s="144"/>
      <c r="I296" s="144"/>
      <c r="J296" s="145"/>
      <c r="K296" s="145"/>
      <c r="L296" s="148"/>
      <c r="M296" s="155"/>
      <c r="N296" s="144"/>
      <c r="O296" s="144"/>
      <c r="P296" s="144"/>
      <c r="Q296" s="145"/>
      <c r="R296" s="145"/>
      <c r="S296" s="154"/>
      <c r="T296" s="155"/>
      <c r="U296" s="144"/>
      <c r="V296" s="144"/>
    </row>
    <row r="297" spans="1:22" ht="14" x14ac:dyDescent="0.15">
      <c r="A297" s="144"/>
      <c r="B297" s="144"/>
      <c r="C297" s="145"/>
      <c r="D297" s="145"/>
      <c r="E297" s="148"/>
      <c r="F297" s="147"/>
      <c r="G297" s="144"/>
      <c r="H297" s="144"/>
      <c r="I297" s="144"/>
      <c r="J297" s="145"/>
      <c r="K297" s="145"/>
      <c r="L297" s="148"/>
      <c r="M297" s="155"/>
      <c r="N297" s="144"/>
      <c r="O297" s="144"/>
      <c r="P297" s="144"/>
      <c r="Q297" s="145"/>
      <c r="R297" s="145"/>
      <c r="S297" s="154"/>
      <c r="T297" s="155"/>
      <c r="U297" s="144"/>
      <c r="V297" s="144"/>
    </row>
    <row r="298" spans="1:22" ht="14" x14ac:dyDescent="0.15">
      <c r="A298" s="144"/>
      <c r="B298" s="144"/>
      <c r="C298" s="145"/>
      <c r="D298" s="145"/>
      <c r="E298" s="148"/>
      <c r="F298" s="147"/>
      <c r="G298" s="144"/>
      <c r="H298" s="144"/>
      <c r="I298" s="144"/>
      <c r="J298" s="145"/>
      <c r="K298" s="145"/>
      <c r="L298" s="148"/>
      <c r="M298" s="155"/>
      <c r="N298" s="144"/>
      <c r="O298" s="144"/>
      <c r="P298" s="144"/>
      <c r="Q298" s="145"/>
      <c r="R298" s="145"/>
      <c r="S298" s="154"/>
      <c r="T298" s="155"/>
      <c r="U298" s="144"/>
      <c r="V298" s="144"/>
    </row>
    <row r="299" spans="1:22" ht="14" x14ac:dyDescent="0.15">
      <c r="A299" s="144"/>
      <c r="B299" s="144"/>
      <c r="C299" s="145"/>
      <c r="D299" s="145"/>
      <c r="E299" s="148"/>
      <c r="F299" s="147"/>
      <c r="G299" s="144"/>
      <c r="H299" s="144"/>
      <c r="I299" s="144"/>
      <c r="J299" s="145"/>
      <c r="K299" s="145"/>
      <c r="L299" s="148"/>
      <c r="M299" s="155"/>
      <c r="N299" s="144"/>
      <c r="O299" s="144"/>
      <c r="P299" s="144"/>
      <c r="Q299" s="145"/>
      <c r="R299" s="145"/>
      <c r="S299" s="154"/>
      <c r="T299" s="155"/>
      <c r="U299" s="144"/>
      <c r="V299" s="144"/>
    </row>
    <row r="300" spans="1:22" ht="14" x14ac:dyDescent="0.15">
      <c r="A300" s="144"/>
      <c r="B300" s="144"/>
      <c r="C300" s="145"/>
      <c r="D300" s="145"/>
      <c r="E300" s="148"/>
      <c r="F300" s="147"/>
      <c r="G300" s="144"/>
      <c r="H300" s="144"/>
      <c r="I300" s="144"/>
      <c r="J300" s="145"/>
      <c r="K300" s="145"/>
      <c r="L300" s="148"/>
      <c r="M300" s="155"/>
      <c r="N300" s="144"/>
      <c r="O300" s="144"/>
      <c r="P300" s="144"/>
      <c r="Q300" s="145"/>
      <c r="R300" s="145"/>
      <c r="S300" s="154"/>
      <c r="T300" s="155"/>
      <c r="U300" s="144"/>
      <c r="V300" s="144"/>
    </row>
    <row r="301" spans="1:22" ht="14" x14ac:dyDescent="0.15">
      <c r="A301" s="144"/>
      <c r="B301" s="144"/>
      <c r="C301" s="145"/>
      <c r="D301" s="145"/>
      <c r="E301" s="148"/>
      <c r="F301" s="147"/>
      <c r="G301" s="144"/>
      <c r="H301" s="144"/>
      <c r="I301" s="144"/>
      <c r="J301" s="145"/>
      <c r="K301" s="145"/>
      <c r="L301" s="148"/>
      <c r="M301" s="155"/>
      <c r="N301" s="144"/>
      <c r="O301" s="144"/>
      <c r="P301" s="144"/>
      <c r="Q301" s="145"/>
      <c r="R301" s="145"/>
      <c r="S301" s="154"/>
      <c r="T301" s="155"/>
      <c r="U301" s="144"/>
      <c r="V301" s="144"/>
    </row>
    <row r="302" spans="1:22" ht="14" x14ac:dyDescent="0.15">
      <c r="A302" s="144"/>
      <c r="B302" s="144"/>
      <c r="C302" s="145"/>
      <c r="D302" s="145"/>
      <c r="E302" s="148"/>
      <c r="F302" s="147"/>
      <c r="G302" s="144"/>
      <c r="H302" s="144"/>
      <c r="I302" s="144"/>
      <c r="J302" s="145"/>
      <c r="K302" s="145"/>
      <c r="L302" s="148"/>
      <c r="M302" s="155"/>
      <c r="N302" s="144"/>
      <c r="O302" s="144"/>
      <c r="P302" s="144"/>
      <c r="Q302" s="145"/>
      <c r="R302" s="145"/>
      <c r="S302" s="154"/>
      <c r="T302" s="155"/>
      <c r="U302" s="144"/>
      <c r="V302" s="144"/>
    </row>
    <row r="303" spans="1:22" ht="14" x14ac:dyDescent="0.15">
      <c r="A303" s="144"/>
      <c r="B303" s="144"/>
      <c r="C303" s="145"/>
      <c r="D303" s="145"/>
      <c r="E303" s="148"/>
      <c r="F303" s="147"/>
      <c r="G303" s="144"/>
      <c r="H303" s="144"/>
      <c r="I303" s="144"/>
      <c r="J303" s="145"/>
      <c r="K303" s="145"/>
      <c r="L303" s="148"/>
      <c r="M303" s="155"/>
      <c r="N303" s="144"/>
      <c r="O303" s="144"/>
      <c r="P303" s="144"/>
      <c r="Q303" s="145"/>
      <c r="R303" s="145"/>
      <c r="S303" s="154"/>
      <c r="T303" s="155"/>
      <c r="U303" s="144"/>
      <c r="V303" s="144"/>
    </row>
    <row r="304" spans="1:22" ht="14" x14ac:dyDescent="0.15">
      <c r="A304" s="144"/>
      <c r="B304" s="144"/>
      <c r="C304" s="145"/>
      <c r="D304" s="145"/>
      <c r="E304" s="148"/>
      <c r="F304" s="147"/>
      <c r="G304" s="144"/>
      <c r="H304" s="144"/>
      <c r="I304" s="144"/>
      <c r="J304" s="145"/>
      <c r="K304" s="145"/>
      <c r="L304" s="148"/>
      <c r="M304" s="155"/>
      <c r="N304" s="144"/>
      <c r="O304" s="144"/>
      <c r="P304" s="144"/>
      <c r="Q304" s="145"/>
      <c r="R304" s="145"/>
      <c r="S304" s="154"/>
      <c r="T304" s="155"/>
      <c r="U304" s="144"/>
      <c r="V304" s="144"/>
    </row>
    <row r="305" spans="1:22" ht="14" x14ac:dyDescent="0.15">
      <c r="A305" s="144"/>
      <c r="B305" s="144"/>
      <c r="C305" s="145"/>
      <c r="D305" s="145"/>
      <c r="E305" s="148"/>
      <c r="F305" s="147"/>
      <c r="G305" s="144"/>
      <c r="H305" s="144"/>
      <c r="I305" s="144"/>
      <c r="J305" s="145"/>
      <c r="K305" s="145"/>
      <c r="L305" s="148"/>
      <c r="M305" s="155"/>
      <c r="N305" s="144"/>
      <c r="O305" s="144"/>
      <c r="P305" s="144"/>
      <c r="Q305" s="145"/>
      <c r="R305" s="145"/>
      <c r="S305" s="154"/>
      <c r="T305" s="155"/>
      <c r="U305" s="144"/>
      <c r="V305" s="144"/>
    </row>
    <row r="306" spans="1:22" ht="14" x14ac:dyDescent="0.15">
      <c r="A306" s="144"/>
      <c r="B306" s="144"/>
      <c r="C306" s="145"/>
      <c r="D306" s="145"/>
      <c r="E306" s="148"/>
      <c r="F306" s="147"/>
      <c r="G306" s="144"/>
      <c r="H306" s="144"/>
      <c r="I306" s="144"/>
      <c r="J306" s="145"/>
      <c r="K306" s="145"/>
      <c r="L306" s="148"/>
      <c r="M306" s="155"/>
      <c r="N306" s="144"/>
      <c r="O306" s="144"/>
      <c r="P306" s="144"/>
      <c r="Q306" s="145"/>
      <c r="R306" s="145"/>
      <c r="S306" s="154"/>
      <c r="T306" s="155"/>
      <c r="U306" s="144"/>
      <c r="V306" s="144"/>
    </row>
    <row r="307" spans="1:22" ht="14" x14ac:dyDescent="0.15">
      <c r="A307" s="144"/>
      <c r="B307" s="144"/>
      <c r="C307" s="145"/>
      <c r="D307" s="145"/>
      <c r="E307" s="148"/>
      <c r="F307" s="147"/>
      <c r="G307" s="144"/>
      <c r="H307" s="144"/>
      <c r="I307" s="144"/>
      <c r="J307" s="145"/>
      <c r="K307" s="145"/>
      <c r="L307" s="148"/>
      <c r="M307" s="155"/>
      <c r="N307" s="144"/>
      <c r="O307" s="144"/>
      <c r="P307" s="144"/>
      <c r="Q307" s="145"/>
      <c r="R307" s="145"/>
      <c r="S307" s="154"/>
      <c r="T307" s="155"/>
      <c r="U307" s="144"/>
      <c r="V307" s="144"/>
    </row>
    <row r="308" spans="1:22" ht="14" x14ac:dyDescent="0.15">
      <c r="A308" s="144"/>
      <c r="B308" s="144"/>
      <c r="C308" s="145"/>
      <c r="D308" s="145"/>
      <c r="E308" s="148"/>
      <c r="F308" s="147"/>
      <c r="G308" s="144"/>
      <c r="H308" s="144"/>
      <c r="I308" s="144"/>
      <c r="J308" s="145"/>
      <c r="K308" s="145"/>
      <c r="L308" s="148"/>
      <c r="M308" s="155"/>
      <c r="N308" s="144"/>
      <c r="O308" s="144"/>
      <c r="P308" s="144"/>
      <c r="Q308" s="145"/>
      <c r="R308" s="145"/>
      <c r="S308" s="154"/>
      <c r="T308" s="155"/>
      <c r="U308" s="144"/>
      <c r="V308" s="144"/>
    </row>
    <row r="309" spans="1:22" ht="14" x14ac:dyDescent="0.15">
      <c r="A309" s="144"/>
      <c r="B309" s="144"/>
      <c r="C309" s="145"/>
      <c r="D309" s="145"/>
      <c r="E309" s="148"/>
      <c r="F309" s="147"/>
      <c r="G309" s="144"/>
      <c r="H309" s="144"/>
      <c r="I309" s="144"/>
      <c r="J309" s="145"/>
      <c r="K309" s="145"/>
      <c r="L309" s="148"/>
      <c r="M309" s="155"/>
      <c r="N309" s="144"/>
      <c r="O309" s="144"/>
      <c r="P309" s="144"/>
      <c r="Q309" s="145"/>
      <c r="R309" s="145"/>
      <c r="S309" s="154"/>
      <c r="T309" s="155"/>
      <c r="U309" s="144"/>
      <c r="V309" s="144"/>
    </row>
    <row r="310" spans="1:22" ht="14" x14ac:dyDescent="0.15">
      <c r="A310" s="144"/>
      <c r="B310" s="144"/>
      <c r="C310" s="145"/>
      <c r="D310" s="145"/>
      <c r="E310" s="148"/>
      <c r="F310" s="147"/>
      <c r="G310" s="144"/>
      <c r="H310" s="144"/>
      <c r="I310" s="144"/>
      <c r="J310" s="145"/>
      <c r="K310" s="145"/>
      <c r="L310" s="148"/>
      <c r="M310" s="155"/>
      <c r="N310" s="144"/>
      <c r="O310" s="144"/>
      <c r="P310" s="144"/>
      <c r="Q310" s="145"/>
      <c r="R310" s="145"/>
      <c r="S310" s="154"/>
      <c r="T310" s="155"/>
      <c r="U310" s="144"/>
      <c r="V310" s="144"/>
    </row>
    <row r="311" spans="1:22" ht="14" x14ac:dyDescent="0.15">
      <c r="A311" s="144"/>
      <c r="B311" s="144"/>
      <c r="C311" s="145"/>
      <c r="D311" s="145"/>
      <c r="E311" s="148"/>
      <c r="F311" s="147"/>
      <c r="G311" s="144"/>
      <c r="H311" s="144"/>
      <c r="I311" s="144"/>
      <c r="J311" s="145"/>
      <c r="K311" s="145"/>
      <c r="L311" s="148"/>
      <c r="M311" s="155"/>
      <c r="N311" s="144"/>
      <c r="O311" s="144"/>
      <c r="P311" s="144"/>
      <c r="Q311" s="145"/>
      <c r="R311" s="145"/>
      <c r="S311" s="154"/>
      <c r="T311" s="155"/>
      <c r="U311" s="144"/>
      <c r="V311" s="144"/>
    </row>
    <row r="312" spans="1:22" ht="14" x14ac:dyDescent="0.15">
      <c r="A312" s="144"/>
      <c r="B312" s="144"/>
      <c r="C312" s="145"/>
      <c r="D312" s="145"/>
      <c r="E312" s="148"/>
      <c r="F312" s="147"/>
      <c r="G312" s="144"/>
      <c r="H312" s="144"/>
      <c r="I312" s="144"/>
      <c r="J312" s="145"/>
      <c r="K312" s="145"/>
      <c r="L312" s="148"/>
      <c r="M312" s="155"/>
      <c r="N312" s="144"/>
      <c r="O312" s="144"/>
      <c r="P312" s="144"/>
      <c r="Q312" s="145"/>
      <c r="R312" s="145"/>
      <c r="S312" s="154"/>
      <c r="T312" s="155"/>
      <c r="U312" s="144"/>
      <c r="V312" s="144"/>
    </row>
    <row r="313" spans="1:22" ht="14" x14ac:dyDescent="0.15">
      <c r="A313" s="144"/>
      <c r="B313" s="144"/>
      <c r="C313" s="145"/>
      <c r="D313" s="145"/>
      <c r="E313" s="148"/>
      <c r="F313" s="147"/>
      <c r="G313" s="144"/>
      <c r="H313" s="144"/>
      <c r="I313" s="144"/>
      <c r="J313" s="145"/>
      <c r="K313" s="145"/>
      <c r="L313" s="148"/>
      <c r="M313" s="155"/>
      <c r="N313" s="144"/>
      <c r="O313" s="144"/>
      <c r="P313" s="144"/>
      <c r="Q313" s="145"/>
      <c r="R313" s="145"/>
      <c r="S313" s="154"/>
      <c r="T313" s="155"/>
      <c r="U313" s="144"/>
      <c r="V313" s="144"/>
    </row>
    <row r="314" spans="1:22" ht="14" x14ac:dyDescent="0.15">
      <c r="A314" s="144"/>
      <c r="B314" s="144"/>
      <c r="C314" s="145"/>
      <c r="D314" s="145"/>
      <c r="E314" s="148"/>
      <c r="F314" s="147"/>
      <c r="G314" s="144"/>
      <c r="H314" s="144"/>
      <c r="I314" s="144"/>
      <c r="J314" s="145"/>
      <c r="K314" s="145"/>
      <c r="L314" s="148"/>
      <c r="M314" s="155"/>
      <c r="N314" s="144"/>
      <c r="O314" s="144"/>
      <c r="P314" s="144"/>
      <c r="Q314" s="145"/>
      <c r="R314" s="145"/>
      <c r="S314" s="154"/>
      <c r="T314" s="155"/>
      <c r="U314" s="144"/>
      <c r="V314" s="144"/>
    </row>
    <row r="315" spans="1:22" ht="14" x14ac:dyDescent="0.15">
      <c r="A315" s="144"/>
      <c r="B315" s="144"/>
      <c r="C315" s="145"/>
      <c r="D315" s="145"/>
      <c r="E315" s="148"/>
      <c r="F315" s="147"/>
      <c r="G315" s="144"/>
      <c r="H315" s="144"/>
      <c r="I315" s="144"/>
      <c r="J315" s="145"/>
      <c r="K315" s="145"/>
      <c r="L315" s="148"/>
      <c r="M315" s="155"/>
      <c r="N315" s="144"/>
      <c r="O315" s="144"/>
      <c r="P315" s="144"/>
      <c r="Q315" s="145"/>
      <c r="R315" s="145"/>
      <c r="S315" s="154"/>
      <c r="T315" s="155"/>
      <c r="U315" s="144"/>
      <c r="V315" s="144"/>
    </row>
    <row r="316" spans="1:22" ht="14" x14ac:dyDescent="0.15">
      <c r="A316" s="144"/>
      <c r="B316" s="144"/>
      <c r="C316" s="145"/>
      <c r="D316" s="145"/>
      <c r="E316" s="148"/>
      <c r="F316" s="147"/>
      <c r="G316" s="144"/>
      <c r="H316" s="144"/>
      <c r="I316" s="144"/>
      <c r="J316" s="145"/>
      <c r="K316" s="145"/>
      <c r="L316" s="148"/>
      <c r="M316" s="155"/>
      <c r="N316" s="144"/>
      <c r="O316" s="144"/>
      <c r="P316" s="144"/>
      <c r="Q316" s="145"/>
      <c r="R316" s="145"/>
      <c r="S316" s="154"/>
      <c r="T316" s="155"/>
      <c r="U316" s="144"/>
      <c r="V316" s="144"/>
    </row>
    <row r="317" spans="1:22" ht="14" x14ac:dyDescent="0.15">
      <c r="A317" s="144"/>
      <c r="B317" s="144"/>
      <c r="C317" s="145"/>
      <c r="D317" s="145"/>
      <c r="E317" s="148"/>
      <c r="F317" s="147"/>
      <c r="G317" s="144"/>
      <c r="H317" s="144"/>
      <c r="I317" s="144"/>
      <c r="J317" s="145"/>
      <c r="K317" s="145"/>
      <c r="L317" s="148"/>
      <c r="M317" s="155"/>
      <c r="N317" s="144"/>
      <c r="O317" s="144"/>
      <c r="P317" s="144"/>
      <c r="Q317" s="145"/>
      <c r="R317" s="145"/>
      <c r="S317" s="154"/>
      <c r="T317" s="155"/>
      <c r="U317" s="144"/>
      <c r="V317" s="144"/>
    </row>
    <row r="318" spans="1:22" ht="14" x14ac:dyDescent="0.15">
      <c r="A318" s="144"/>
      <c r="B318" s="144"/>
      <c r="C318" s="145"/>
      <c r="D318" s="145"/>
      <c r="E318" s="148"/>
      <c r="F318" s="147"/>
      <c r="G318" s="144"/>
      <c r="H318" s="144"/>
      <c r="I318" s="144"/>
      <c r="J318" s="145"/>
      <c r="K318" s="145"/>
      <c r="L318" s="148"/>
      <c r="M318" s="155"/>
      <c r="N318" s="144"/>
      <c r="O318" s="144"/>
      <c r="P318" s="144"/>
      <c r="Q318" s="145"/>
      <c r="R318" s="145"/>
      <c r="S318" s="154"/>
      <c r="T318" s="155"/>
      <c r="U318" s="144"/>
      <c r="V318" s="144"/>
    </row>
    <row r="319" spans="1:22" ht="14" x14ac:dyDescent="0.15">
      <c r="A319" s="144"/>
      <c r="B319" s="144"/>
      <c r="C319" s="145"/>
      <c r="D319" s="145"/>
      <c r="E319" s="148"/>
      <c r="F319" s="147"/>
      <c r="G319" s="144"/>
      <c r="H319" s="144"/>
      <c r="I319" s="144"/>
      <c r="J319" s="145"/>
      <c r="K319" s="145"/>
      <c r="L319" s="148"/>
      <c r="M319" s="155"/>
      <c r="N319" s="144"/>
      <c r="O319" s="144"/>
      <c r="P319" s="144"/>
      <c r="Q319" s="145"/>
      <c r="R319" s="145"/>
      <c r="S319" s="154"/>
      <c r="T319" s="155"/>
      <c r="U319" s="144"/>
      <c r="V319" s="144"/>
    </row>
    <row r="320" spans="1:22" ht="14" x14ac:dyDescent="0.15">
      <c r="A320" s="144"/>
      <c r="B320" s="144"/>
      <c r="C320" s="145"/>
      <c r="D320" s="145"/>
      <c r="E320" s="148"/>
      <c r="F320" s="147"/>
      <c r="G320" s="144"/>
      <c r="H320" s="144"/>
      <c r="I320" s="144"/>
      <c r="J320" s="145"/>
      <c r="K320" s="145"/>
      <c r="L320" s="148"/>
      <c r="M320" s="155"/>
      <c r="N320" s="144"/>
      <c r="O320" s="144"/>
      <c r="P320" s="144"/>
      <c r="Q320" s="145"/>
      <c r="R320" s="145"/>
      <c r="S320" s="154"/>
      <c r="T320" s="155"/>
      <c r="U320" s="144"/>
      <c r="V320" s="144"/>
    </row>
    <row r="321" spans="1:22" ht="14" x14ac:dyDescent="0.15">
      <c r="A321" s="144"/>
      <c r="B321" s="144"/>
      <c r="C321" s="145"/>
      <c r="D321" s="145"/>
      <c r="E321" s="148"/>
      <c r="F321" s="147"/>
      <c r="G321" s="144"/>
      <c r="H321" s="144"/>
      <c r="I321" s="144"/>
      <c r="J321" s="145"/>
      <c r="K321" s="145"/>
      <c r="L321" s="148"/>
      <c r="M321" s="155"/>
      <c r="N321" s="144"/>
      <c r="O321" s="144"/>
      <c r="P321" s="144"/>
      <c r="Q321" s="145"/>
      <c r="R321" s="145"/>
      <c r="S321" s="154"/>
      <c r="T321" s="155"/>
      <c r="U321" s="144"/>
      <c r="V321" s="144"/>
    </row>
    <row r="322" spans="1:22" ht="14" x14ac:dyDescent="0.15">
      <c r="A322" s="144"/>
      <c r="B322" s="144"/>
      <c r="C322" s="145"/>
      <c r="D322" s="145"/>
      <c r="E322" s="148"/>
      <c r="F322" s="147"/>
      <c r="G322" s="144"/>
      <c r="H322" s="144"/>
      <c r="I322" s="144"/>
      <c r="J322" s="145"/>
      <c r="K322" s="145"/>
      <c r="L322" s="148"/>
      <c r="M322" s="155"/>
      <c r="N322" s="144"/>
      <c r="O322" s="144"/>
      <c r="P322" s="144"/>
      <c r="Q322" s="145"/>
      <c r="R322" s="145"/>
      <c r="S322" s="154"/>
      <c r="T322" s="155"/>
      <c r="U322" s="144"/>
      <c r="V322" s="144"/>
    </row>
    <row r="323" spans="1:22" ht="14" x14ac:dyDescent="0.15">
      <c r="A323" s="144"/>
      <c r="B323" s="144"/>
      <c r="C323" s="145"/>
      <c r="D323" s="145"/>
      <c r="E323" s="148"/>
      <c r="F323" s="147"/>
      <c r="G323" s="144"/>
      <c r="H323" s="144"/>
      <c r="I323" s="144"/>
      <c r="J323" s="145"/>
      <c r="K323" s="145"/>
      <c r="L323" s="148"/>
      <c r="M323" s="155"/>
      <c r="N323" s="144"/>
      <c r="O323" s="144"/>
      <c r="P323" s="144"/>
      <c r="Q323" s="145"/>
      <c r="R323" s="145"/>
      <c r="S323" s="154"/>
      <c r="T323" s="155"/>
      <c r="U323" s="144"/>
      <c r="V323" s="144"/>
    </row>
    <row r="324" spans="1:22" ht="14" x14ac:dyDescent="0.15">
      <c r="A324" s="144"/>
      <c r="B324" s="144"/>
      <c r="C324" s="145"/>
      <c r="D324" s="145"/>
      <c r="E324" s="148"/>
      <c r="F324" s="147"/>
      <c r="G324" s="144"/>
      <c r="H324" s="144"/>
      <c r="I324" s="144"/>
      <c r="J324" s="145"/>
      <c r="K324" s="145"/>
      <c r="L324" s="148"/>
      <c r="M324" s="155"/>
      <c r="N324" s="144"/>
      <c r="O324" s="144"/>
      <c r="P324" s="144"/>
      <c r="Q324" s="145"/>
      <c r="R324" s="145"/>
      <c r="S324" s="154"/>
      <c r="T324" s="155"/>
      <c r="U324" s="144"/>
      <c r="V324" s="144"/>
    </row>
    <row r="325" spans="1:22" ht="14" x14ac:dyDescent="0.15">
      <c r="A325" s="144"/>
      <c r="B325" s="144"/>
      <c r="C325" s="145"/>
      <c r="D325" s="145"/>
      <c r="E325" s="148"/>
      <c r="F325" s="147"/>
      <c r="G325" s="144"/>
      <c r="H325" s="144"/>
      <c r="I325" s="144"/>
      <c r="J325" s="145"/>
      <c r="K325" s="145"/>
      <c r="L325" s="148"/>
      <c r="M325" s="155"/>
      <c r="N325" s="144"/>
      <c r="O325" s="144"/>
      <c r="P325" s="144"/>
      <c r="Q325" s="145"/>
      <c r="R325" s="145"/>
      <c r="S325" s="154"/>
      <c r="T325" s="155"/>
      <c r="U325" s="144"/>
      <c r="V325" s="144"/>
    </row>
    <row r="326" spans="1:22" ht="14" x14ac:dyDescent="0.15">
      <c r="A326" s="144"/>
      <c r="B326" s="144"/>
      <c r="C326" s="145"/>
      <c r="D326" s="145"/>
      <c r="E326" s="148"/>
      <c r="F326" s="147"/>
      <c r="G326" s="144"/>
      <c r="H326" s="144"/>
      <c r="I326" s="144"/>
      <c r="J326" s="145"/>
      <c r="K326" s="145"/>
      <c r="L326" s="148"/>
      <c r="M326" s="155"/>
      <c r="N326" s="144"/>
      <c r="O326" s="144"/>
      <c r="P326" s="144"/>
      <c r="Q326" s="145"/>
      <c r="R326" s="145"/>
      <c r="S326" s="154"/>
      <c r="T326" s="155"/>
      <c r="U326" s="144"/>
      <c r="V326" s="144"/>
    </row>
    <row r="327" spans="1:22" ht="14" x14ac:dyDescent="0.15">
      <c r="A327" s="144"/>
      <c r="B327" s="144"/>
      <c r="C327" s="145"/>
      <c r="D327" s="145"/>
      <c r="E327" s="148"/>
      <c r="F327" s="147"/>
      <c r="G327" s="144"/>
      <c r="H327" s="144"/>
      <c r="I327" s="144"/>
      <c r="J327" s="145"/>
      <c r="K327" s="145"/>
      <c r="L327" s="148"/>
      <c r="M327" s="155"/>
      <c r="N327" s="144"/>
      <c r="O327" s="144"/>
      <c r="P327" s="144"/>
      <c r="Q327" s="145"/>
      <c r="R327" s="145"/>
      <c r="S327" s="154"/>
      <c r="T327" s="155"/>
      <c r="U327" s="144"/>
      <c r="V327" s="144"/>
    </row>
    <row r="328" spans="1:22" ht="14" x14ac:dyDescent="0.15">
      <c r="A328" s="144"/>
      <c r="B328" s="144"/>
      <c r="C328" s="145"/>
      <c r="D328" s="145"/>
      <c r="E328" s="148"/>
      <c r="F328" s="147"/>
      <c r="G328" s="144"/>
      <c r="H328" s="144"/>
      <c r="I328" s="144"/>
      <c r="J328" s="145"/>
      <c r="K328" s="145"/>
      <c r="L328" s="148"/>
      <c r="M328" s="155"/>
      <c r="N328" s="144"/>
      <c r="O328" s="144"/>
      <c r="P328" s="144"/>
      <c r="Q328" s="145"/>
      <c r="R328" s="145"/>
      <c r="S328" s="154"/>
      <c r="T328" s="155"/>
      <c r="U328" s="144"/>
      <c r="V328" s="144"/>
    </row>
    <row r="329" spans="1:22" ht="14" x14ac:dyDescent="0.15">
      <c r="A329" s="144"/>
      <c r="B329" s="144"/>
      <c r="C329" s="145"/>
      <c r="D329" s="145"/>
      <c r="E329" s="148"/>
      <c r="F329" s="147"/>
      <c r="G329" s="144"/>
      <c r="H329" s="144"/>
      <c r="I329" s="144"/>
      <c r="J329" s="145"/>
      <c r="K329" s="145"/>
      <c r="L329" s="148"/>
      <c r="M329" s="155"/>
      <c r="N329" s="144"/>
      <c r="O329" s="144"/>
      <c r="P329" s="144"/>
      <c r="Q329" s="145"/>
      <c r="R329" s="145"/>
      <c r="S329" s="154"/>
      <c r="T329" s="155"/>
      <c r="U329" s="144"/>
      <c r="V329" s="144"/>
    </row>
    <row r="330" spans="1:22" ht="14" x14ac:dyDescent="0.15">
      <c r="A330" s="144"/>
      <c r="B330" s="144"/>
      <c r="C330" s="145"/>
      <c r="D330" s="145"/>
      <c r="E330" s="148"/>
      <c r="F330" s="147"/>
      <c r="G330" s="144"/>
      <c r="H330" s="144"/>
      <c r="I330" s="144"/>
      <c r="J330" s="145"/>
      <c r="K330" s="145"/>
      <c r="L330" s="148"/>
      <c r="M330" s="155"/>
      <c r="N330" s="144"/>
      <c r="O330" s="144"/>
      <c r="P330" s="144"/>
      <c r="Q330" s="145"/>
      <c r="R330" s="145"/>
      <c r="S330" s="154"/>
      <c r="T330" s="155"/>
      <c r="U330" s="144"/>
      <c r="V330" s="144"/>
    </row>
    <row r="331" spans="1:22" ht="14" x14ac:dyDescent="0.15">
      <c r="A331" s="144"/>
      <c r="B331" s="144"/>
      <c r="C331" s="145"/>
      <c r="D331" s="145"/>
      <c r="E331" s="148"/>
      <c r="F331" s="147"/>
      <c r="G331" s="144"/>
      <c r="H331" s="144"/>
      <c r="I331" s="144"/>
      <c r="J331" s="145"/>
      <c r="K331" s="145"/>
      <c r="L331" s="148"/>
      <c r="M331" s="155"/>
      <c r="N331" s="144"/>
      <c r="O331" s="144"/>
      <c r="P331" s="144"/>
      <c r="Q331" s="145"/>
      <c r="R331" s="145"/>
      <c r="S331" s="154"/>
      <c r="T331" s="155"/>
      <c r="U331" s="144"/>
      <c r="V331" s="144"/>
    </row>
    <row r="332" spans="1:22" ht="14" x14ac:dyDescent="0.15">
      <c r="A332" s="144"/>
      <c r="B332" s="144"/>
      <c r="C332" s="145"/>
      <c r="D332" s="145"/>
      <c r="E332" s="148"/>
      <c r="F332" s="147"/>
      <c r="G332" s="144"/>
      <c r="H332" s="144"/>
      <c r="I332" s="144"/>
      <c r="J332" s="145"/>
      <c r="K332" s="145"/>
      <c r="L332" s="148"/>
      <c r="M332" s="155"/>
      <c r="N332" s="144"/>
      <c r="O332" s="144"/>
      <c r="P332" s="144"/>
      <c r="Q332" s="145"/>
      <c r="R332" s="145"/>
      <c r="S332" s="154"/>
      <c r="T332" s="155"/>
      <c r="U332" s="144"/>
      <c r="V332" s="144"/>
    </row>
    <row r="333" spans="1:22" ht="14" x14ac:dyDescent="0.15">
      <c r="A333" s="144"/>
      <c r="B333" s="144"/>
      <c r="C333" s="145"/>
      <c r="D333" s="145"/>
      <c r="E333" s="148"/>
      <c r="F333" s="147"/>
      <c r="G333" s="144"/>
      <c r="H333" s="144"/>
      <c r="I333" s="144"/>
      <c r="J333" s="145"/>
      <c r="K333" s="145"/>
      <c r="L333" s="148"/>
      <c r="M333" s="155"/>
      <c r="N333" s="144"/>
      <c r="O333" s="144"/>
      <c r="P333" s="144"/>
      <c r="Q333" s="145"/>
      <c r="R333" s="145"/>
      <c r="S333" s="154"/>
      <c r="T333" s="155"/>
      <c r="U333" s="144"/>
      <c r="V333" s="144"/>
    </row>
    <row r="334" spans="1:22" ht="14" x14ac:dyDescent="0.15">
      <c r="A334" s="144"/>
      <c r="B334" s="144"/>
      <c r="C334" s="145"/>
      <c r="D334" s="145"/>
      <c r="E334" s="148"/>
      <c r="F334" s="147"/>
      <c r="G334" s="144"/>
      <c r="H334" s="144"/>
      <c r="I334" s="144"/>
      <c r="J334" s="145"/>
      <c r="K334" s="145"/>
      <c r="L334" s="148"/>
      <c r="M334" s="155"/>
      <c r="N334" s="144"/>
      <c r="O334" s="144"/>
      <c r="P334" s="144"/>
      <c r="Q334" s="145"/>
      <c r="R334" s="145"/>
      <c r="S334" s="154"/>
      <c r="T334" s="155"/>
      <c r="U334" s="144"/>
      <c r="V334" s="144"/>
    </row>
    <row r="335" spans="1:22" ht="14" x14ac:dyDescent="0.15">
      <c r="A335" s="144"/>
      <c r="B335" s="144"/>
      <c r="C335" s="145"/>
      <c r="D335" s="145"/>
      <c r="E335" s="148"/>
      <c r="F335" s="147"/>
      <c r="G335" s="144"/>
      <c r="H335" s="144"/>
      <c r="I335" s="144"/>
      <c r="J335" s="145"/>
      <c r="K335" s="145"/>
      <c r="L335" s="148"/>
      <c r="M335" s="155"/>
      <c r="N335" s="144"/>
      <c r="O335" s="144"/>
      <c r="P335" s="144"/>
      <c r="Q335" s="145"/>
      <c r="R335" s="145"/>
      <c r="S335" s="154"/>
      <c r="T335" s="155"/>
      <c r="U335" s="144"/>
      <c r="V335" s="144"/>
    </row>
    <row r="336" spans="1:22" ht="14" x14ac:dyDescent="0.15">
      <c r="A336" s="144"/>
      <c r="B336" s="144"/>
      <c r="C336" s="145"/>
      <c r="D336" s="145"/>
      <c r="E336" s="148"/>
      <c r="F336" s="147"/>
      <c r="G336" s="144"/>
      <c r="H336" s="144"/>
      <c r="I336" s="144"/>
      <c r="J336" s="145"/>
      <c r="K336" s="145"/>
      <c r="L336" s="148"/>
      <c r="M336" s="155"/>
      <c r="N336" s="144"/>
      <c r="O336" s="144"/>
      <c r="P336" s="144"/>
      <c r="Q336" s="145"/>
      <c r="R336" s="145"/>
      <c r="S336" s="154"/>
      <c r="T336" s="155"/>
      <c r="U336" s="144"/>
      <c r="V336" s="144"/>
    </row>
    <row r="337" spans="1:22" ht="14" x14ac:dyDescent="0.15">
      <c r="A337" s="144"/>
      <c r="B337" s="144"/>
      <c r="C337" s="145"/>
      <c r="D337" s="145"/>
      <c r="E337" s="148"/>
      <c r="F337" s="147"/>
      <c r="G337" s="144"/>
      <c r="H337" s="144"/>
      <c r="I337" s="144"/>
      <c r="J337" s="145"/>
      <c r="K337" s="145"/>
      <c r="L337" s="148"/>
      <c r="M337" s="155"/>
      <c r="N337" s="144"/>
      <c r="O337" s="144"/>
      <c r="P337" s="144"/>
      <c r="Q337" s="145"/>
      <c r="R337" s="145"/>
      <c r="S337" s="154"/>
      <c r="T337" s="155"/>
      <c r="U337" s="144"/>
      <c r="V337" s="144"/>
    </row>
    <row r="338" spans="1:22" ht="14" x14ac:dyDescent="0.15">
      <c r="A338" s="144"/>
      <c r="B338" s="144"/>
      <c r="C338" s="145"/>
      <c r="D338" s="145"/>
      <c r="E338" s="148"/>
      <c r="F338" s="147"/>
      <c r="G338" s="144"/>
      <c r="H338" s="144"/>
      <c r="I338" s="144"/>
      <c r="J338" s="145"/>
      <c r="K338" s="145"/>
      <c r="L338" s="148"/>
      <c r="M338" s="155"/>
      <c r="N338" s="144"/>
      <c r="O338" s="144"/>
      <c r="P338" s="144"/>
      <c r="Q338" s="145"/>
      <c r="R338" s="145"/>
      <c r="S338" s="154"/>
      <c r="T338" s="155"/>
      <c r="U338" s="144"/>
      <c r="V338" s="144"/>
    </row>
    <row r="339" spans="1:22" ht="14" x14ac:dyDescent="0.15">
      <c r="A339" s="144"/>
      <c r="B339" s="144"/>
      <c r="C339" s="145"/>
      <c r="D339" s="145"/>
      <c r="E339" s="148"/>
      <c r="F339" s="147"/>
      <c r="G339" s="144"/>
      <c r="H339" s="144"/>
      <c r="I339" s="144"/>
      <c r="J339" s="145"/>
      <c r="K339" s="145"/>
      <c r="L339" s="148"/>
      <c r="M339" s="155"/>
      <c r="N339" s="144"/>
      <c r="O339" s="144"/>
      <c r="P339" s="144"/>
      <c r="Q339" s="145"/>
      <c r="R339" s="145"/>
      <c r="S339" s="154"/>
      <c r="T339" s="155"/>
      <c r="U339" s="144"/>
      <c r="V339" s="144"/>
    </row>
    <row r="340" spans="1:22" ht="14" x14ac:dyDescent="0.15">
      <c r="A340" s="144"/>
      <c r="B340" s="144"/>
      <c r="C340" s="145"/>
      <c r="D340" s="145"/>
      <c r="E340" s="148"/>
      <c r="F340" s="147"/>
      <c r="G340" s="144"/>
      <c r="H340" s="144"/>
      <c r="I340" s="144"/>
      <c r="J340" s="145"/>
      <c r="K340" s="145"/>
      <c r="L340" s="148"/>
      <c r="M340" s="155"/>
      <c r="N340" s="144"/>
      <c r="O340" s="144"/>
      <c r="P340" s="144"/>
      <c r="Q340" s="145"/>
      <c r="R340" s="145"/>
      <c r="S340" s="154"/>
      <c r="T340" s="155"/>
      <c r="U340" s="144"/>
      <c r="V340" s="144"/>
    </row>
    <row r="341" spans="1:22" ht="14" x14ac:dyDescent="0.15">
      <c r="A341" s="144"/>
      <c r="B341" s="144"/>
      <c r="C341" s="145"/>
      <c r="D341" s="145"/>
      <c r="E341" s="148"/>
      <c r="F341" s="147"/>
      <c r="G341" s="144"/>
      <c r="H341" s="144"/>
      <c r="I341" s="144"/>
      <c r="J341" s="145"/>
      <c r="K341" s="145"/>
      <c r="L341" s="148"/>
      <c r="M341" s="155"/>
      <c r="N341" s="144"/>
      <c r="O341" s="144"/>
      <c r="P341" s="144"/>
      <c r="Q341" s="145"/>
      <c r="R341" s="145"/>
      <c r="S341" s="154"/>
      <c r="T341" s="155"/>
      <c r="U341" s="144"/>
      <c r="V341" s="144"/>
    </row>
    <row r="342" spans="1:22" ht="14" x14ac:dyDescent="0.15">
      <c r="A342" s="144"/>
      <c r="B342" s="144"/>
      <c r="C342" s="145"/>
      <c r="D342" s="145"/>
      <c r="E342" s="148"/>
      <c r="F342" s="147"/>
      <c r="G342" s="144"/>
      <c r="H342" s="144"/>
      <c r="I342" s="144"/>
      <c r="J342" s="145"/>
      <c r="K342" s="145"/>
      <c r="L342" s="148"/>
      <c r="M342" s="155"/>
      <c r="N342" s="144"/>
      <c r="O342" s="144"/>
      <c r="P342" s="144"/>
      <c r="Q342" s="145"/>
      <c r="R342" s="145"/>
      <c r="S342" s="154"/>
      <c r="T342" s="155"/>
      <c r="U342" s="144"/>
      <c r="V342" s="144"/>
    </row>
    <row r="343" spans="1:22" ht="14" x14ac:dyDescent="0.15">
      <c r="A343" s="144"/>
      <c r="B343" s="144"/>
      <c r="C343" s="145"/>
      <c r="D343" s="145"/>
      <c r="E343" s="148"/>
      <c r="F343" s="147"/>
      <c r="G343" s="144"/>
      <c r="H343" s="144"/>
      <c r="I343" s="144"/>
      <c r="J343" s="145"/>
      <c r="K343" s="145"/>
      <c r="L343" s="148"/>
      <c r="M343" s="155"/>
      <c r="N343" s="144"/>
      <c r="O343" s="144"/>
      <c r="P343" s="144"/>
      <c r="Q343" s="145"/>
      <c r="R343" s="145"/>
      <c r="S343" s="154"/>
      <c r="T343" s="155"/>
      <c r="U343" s="144"/>
      <c r="V343" s="144"/>
    </row>
    <row r="344" spans="1:22" ht="14" x14ac:dyDescent="0.15">
      <c r="A344" s="144"/>
      <c r="B344" s="144"/>
      <c r="C344" s="145"/>
      <c r="D344" s="145"/>
      <c r="E344" s="148"/>
      <c r="F344" s="147"/>
      <c r="G344" s="144"/>
      <c r="H344" s="144"/>
      <c r="I344" s="144"/>
      <c r="J344" s="145"/>
      <c r="K344" s="145"/>
      <c r="L344" s="148"/>
      <c r="M344" s="155"/>
      <c r="N344" s="144"/>
      <c r="O344" s="144"/>
      <c r="P344" s="144"/>
      <c r="Q344" s="145"/>
      <c r="R344" s="145"/>
      <c r="S344" s="154"/>
      <c r="T344" s="155"/>
      <c r="U344" s="144"/>
      <c r="V344" s="144"/>
    </row>
    <row r="345" spans="1:22" ht="14" x14ac:dyDescent="0.15">
      <c r="A345" s="144"/>
      <c r="B345" s="144"/>
      <c r="C345" s="145"/>
      <c r="D345" s="145"/>
      <c r="E345" s="148"/>
      <c r="F345" s="147"/>
      <c r="G345" s="144"/>
      <c r="H345" s="144"/>
      <c r="I345" s="144"/>
      <c r="J345" s="145"/>
      <c r="K345" s="145"/>
      <c r="L345" s="148"/>
      <c r="M345" s="155"/>
      <c r="N345" s="144"/>
      <c r="O345" s="144"/>
      <c r="P345" s="144"/>
      <c r="Q345" s="145"/>
      <c r="R345" s="145"/>
      <c r="S345" s="154"/>
      <c r="T345" s="155"/>
      <c r="U345" s="144"/>
      <c r="V345" s="144"/>
    </row>
    <row r="346" spans="1:22" ht="14" x14ac:dyDescent="0.15">
      <c r="A346" s="144"/>
      <c r="B346" s="144"/>
      <c r="C346" s="145"/>
      <c r="D346" s="145"/>
      <c r="E346" s="148"/>
      <c r="F346" s="147"/>
      <c r="G346" s="144"/>
      <c r="H346" s="144"/>
      <c r="I346" s="144"/>
      <c r="J346" s="145"/>
      <c r="K346" s="145"/>
      <c r="L346" s="148"/>
      <c r="M346" s="155"/>
      <c r="N346" s="144"/>
      <c r="O346" s="144"/>
      <c r="P346" s="144"/>
      <c r="Q346" s="145"/>
      <c r="R346" s="145"/>
      <c r="S346" s="154"/>
      <c r="T346" s="155"/>
      <c r="U346" s="144"/>
      <c r="V346" s="144"/>
    </row>
    <row r="347" spans="1:22" ht="14" x14ac:dyDescent="0.15">
      <c r="A347" s="144"/>
      <c r="B347" s="144"/>
      <c r="C347" s="145"/>
      <c r="D347" s="145"/>
      <c r="E347" s="148"/>
      <c r="F347" s="147"/>
      <c r="G347" s="144"/>
      <c r="H347" s="144"/>
      <c r="I347" s="144"/>
      <c r="J347" s="145"/>
      <c r="K347" s="145"/>
      <c r="L347" s="148"/>
      <c r="M347" s="155"/>
      <c r="N347" s="144"/>
      <c r="O347" s="144"/>
      <c r="P347" s="144"/>
      <c r="Q347" s="145"/>
      <c r="R347" s="145"/>
      <c r="S347" s="154"/>
      <c r="T347" s="155"/>
      <c r="U347" s="144"/>
      <c r="V347" s="144"/>
    </row>
    <row r="348" spans="1:22" ht="14" x14ac:dyDescent="0.15">
      <c r="A348" s="144"/>
      <c r="B348" s="144"/>
      <c r="C348" s="145"/>
      <c r="D348" s="145"/>
      <c r="E348" s="148"/>
      <c r="F348" s="147"/>
      <c r="G348" s="144"/>
      <c r="H348" s="144"/>
      <c r="I348" s="144"/>
      <c r="J348" s="145"/>
      <c r="K348" s="145"/>
      <c r="L348" s="148"/>
      <c r="M348" s="155"/>
      <c r="N348" s="144"/>
      <c r="O348" s="144"/>
      <c r="P348" s="144"/>
      <c r="Q348" s="145"/>
      <c r="R348" s="145"/>
      <c r="S348" s="154"/>
      <c r="T348" s="155"/>
      <c r="U348" s="144"/>
      <c r="V348" s="144"/>
    </row>
    <row r="349" spans="1:22" ht="14" x14ac:dyDescent="0.15">
      <c r="A349" s="144"/>
      <c r="B349" s="144"/>
      <c r="C349" s="145"/>
      <c r="D349" s="145"/>
      <c r="E349" s="148"/>
      <c r="F349" s="147"/>
      <c r="G349" s="144"/>
      <c r="H349" s="144"/>
      <c r="I349" s="144"/>
      <c r="J349" s="145"/>
      <c r="K349" s="145"/>
      <c r="L349" s="148"/>
      <c r="M349" s="155"/>
      <c r="N349" s="144"/>
      <c r="O349" s="144"/>
      <c r="P349" s="144"/>
      <c r="Q349" s="145"/>
      <c r="R349" s="145"/>
      <c r="S349" s="154"/>
      <c r="T349" s="155"/>
      <c r="U349" s="144"/>
      <c r="V349" s="144"/>
    </row>
    <row r="350" spans="1:22" ht="14" x14ac:dyDescent="0.15">
      <c r="A350" s="144"/>
      <c r="B350" s="144"/>
      <c r="C350" s="145"/>
      <c r="D350" s="145"/>
      <c r="E350" s="148"/>
      <c r="F350" s="147"/>
      <c r="G350" s="144"/>
      <c r="H350" s="144"/>
      <c r="I350" s="144"/>
      <c r="J350" s="145"/>
      <c r="K350" s="145"/>
      <c r="L350" s="148"/>
      <c r="M350" s="155"/>
      <c r="N350" s="144"/>
      <c r="O350" s="144"/>
      <c r="P350" s="144"/>
      <c r="Q350" s="145"/>
      <c r="R350" s="145"/>
      <c r="S350" s="154"/>
      <c r="T350" s="155"/>
      <c r="U350" s="144"/>
      <c r="V350" s="144"/>
    </row>
    <row r="351" spans="1:22" ht="14" x14ac:dyDescent="0.15">
      <c r="A351" s="144"/>
      <c r="B351" s="144"/>
      <c r="C351" s="145"/>
      <c r="D351" s="145"/>
      <c r="E351" s="148"/>
      <c r="F351" s="147"/>
      <c r="G351" s="144"/>
      <c r="H351" s="144"/>
      <c r="I351" s="144"/>
      <c r="J351" s="145"/>
      <c r="K351" s="145"/>
      <c r="L351" s="148"/>
      <c r="M351" s="155"/>
      <c r="N351" s="144"/>
      <c r="O351" s="144"/>
      <c r="P351" s="144"/>
      <c r="Q351" s="145"/>
      <c r="R351" s="145"/>
      <c r="S351" s="154"/>
      <c r="T351" s="155"/>
      <c r="U351" s="144"/>
      <c r="V351" s="144"/>
    </row>
    <row r="352" spans="1:22" ht="14" x14ac:dyDescent="0.15">
      <c r="A352" s="144"/>
      <c r="B352" s="144"/>
      <c r="C352" s="145"/>
      <c r="D352" s="145"/>
      <c r="E352" s="148"/>
      <c r="F352" s="147"/>
      <c r="G352" s="144"/>
      <c r="H352" s="144"/>
      <c r="I352" s="144"/>
      <c r="J352" s="145"/>
      <c r="K352" s="145"/>
      <c r="L352" s="148"/>
      <c r="M352" s="155"/>
      <c r="N352" s="144"/>
      <c r="O352" s="144"/>
      <c r="P352" s="144"/>
      <c r="Q352" s="145"/>
      <c r="R352" s="145"/>
      <c r="S352" s="154"/>
      <c r="T352" s="155"/>
      <c r="U352" s="144"/>
      <c r="V352" s="144"/>
    </row>
    <row r="353" spans="1:22" ht="14" x14ac:dyDescent="0.15">
      <c r="A353" s="144"/>
      <c r="B353" s="144"/>
      <c r="C353" s="145"/>
      <c r="D353" s="145"/>
      <c r="E353" s="148"/>
      <c r="F353" s="147"/>
      <c r="G353" s="144"/>
      <c r="H353" s="144"/>
      <c r="I353" s="144"/>
      <c r="J353" s="145"/>
      <c r="K353" s="145"/>
      <c r="L353" s="148"/>
      <c r="M353" s="155"/>
      <c r="N353" s="144"/>
      <c r="O353" s="144"/>
      <c r="P353" s="144"/>
      <c r="Q353" s="145"/>
      <c r="R353" s="145"/>
      <c r="S353" s="154"/>
      <c r="T353" s="155"/>
      <c r="U353" s="144"/>
      <c r="V353" s="144"/>
    </row>
    <row r="354" spans="1:22" ht="14" x14ac:dyDescent="0.15">
      <c r="A354" s="144"/>
      <c r="B354" s="144"/>
      <c r="C354" s="145"/>
      <c r="D354" s="145"/>
      <c r="E354" s="148"/>
      <c r="F354" s="147"/>
      <c r="G354" s="144"/>
      <c r="H354" s="144"/>
      <c r="I354" s="144"/>
      <c r="J354" s="145"/>
      <c r="K354" s="145"/>
      <c r="L354" s="148"/>
      <c r="M354" s="155"/>
      <c r="N354" s="144"/>
      <c r="O354" s="144"/>
      <c r="P354" s="144"/>
      <c r="Q354" s="145"/>
      <c r="R354" s="145"/>
      <c r="S354" s="154"/>
      <c r="T354" s="155"/>
      <c r="U354" s="144"/>
      <c r="V354" s="144"/>
    </row>
    <row r="355" spans="1:22" ht="14" x14ac:dyDescent="0.15">
      <c r="A355" s="144"/>
      <c r="B355" s="144"/>
      <c r="C355" s="145"/>
      <c r="D355" s="145"/>
      <c r="E355" s="148"/>
      <c r="F355" s="147"/>
      <c r="G355" s="144"/>
      <c r="H355" s="144"/>
      <c r="I355" s="144"/>
      <c r="J355" s="145"/>
      <c r="K355" s="145"/>
      <c r="L355" s="148"/>
      <c r="M355" s="155"/>
      <c r="N355" s="144"/>
      <c r="O355" s="144"/>
      <c r="P355" s="144"/>
      <c r="Q355" s="145"/>
      <c r="R355" s="145"/>
      <c r="S355" s="154"/>
      <c r="T355" s="155"/>
      <c r="U355" s="144"/>
      <c r="V355" s="144"/>
    </row>
    <row r="356" spans="1:22" ht="14" x14ac:dyDescent="0.15">
      <c r="A356" s="144"/>
      <c r="B356" s="144"/>
      <c r="C356" s="145"/>
      <c r="D356" s="145"/>
      <c r="E356" s="148"/>
      <c r="F356" s="147"/>
      <c r="G356" s="144"/>
      <c r="H356" s="144"/>
      <c r="I356" s="144"/>
      <c r="J356" s="145"/>
      <c r="K356" s="145"/>
      <c r="L356" s="148"/>
      <c r="M356" s="155"/>
      <c r="N356" s="144"/>
      <c r="O356" s="144"/>
      <c r="P356" s="144"/>
      <c r="Q356" s="145"/>
      <c r="R356" s="145"/>
      <c r="S356" s="154"/>
      <c r="T356" s="155"/>
      <c r="U356" s="144"/>
      <c r="V356" s="144"/>
    </row>
    <row r="357" spans="1:22" ht="14" x14ac:dyDescent="0.15">
      <c r="A357" s="144"/>
      <c r="B357" s="144"/>
      <c r="C357" s="145"/>
      <c r="D357" s="145"/>
      <c r="E357" s="148"/>
      <c r="F357" s="147"/>
      <c r="G357" s="144"/>
      <c r="H357" s="144"/>
      <c r="I357" s="144"/>
      <c r="J357" s="145"/>
      <c r="K357" s="145"/>
      <c r="L357" s="148"/>
      <c r="M357" s="155"/>
      <c r="N357" s="144"/>
      <c r="O357" s="144"/>
      <c r="P357" s="144"/>
      <c r="Q357" s="145"/>
      <c r="R357" s="145"/>
      <c r="S357" s="154"/>
      <c r="T357" s="155"/>
      <c r="U357" s="144"/>
      <c r="V357" s="144"/>
    </row>
    <row r="358" spans="1:22" ht="14" x14ac:dyDescent="0.15">
      <c r="A358" s="144"/>
      <c r="B358" s="144"/>
      <c r="C358" s="145"/>
      <c r="D358" s="145"/>
      <c r="E358" s="148"/>
      <c r="F358" s="147"/>
      <c r="G358" s="144"/>
      <c r="H358" s="144"/>
      <c r="I358" s="144"/>
      <c r="J358" s="145"/>
      <c r="K358" s="145"/>
      <c r="L358" s="148"/>
      <c r="M358" s="155"/>
      <c r="N358" s="144"/>
      <c r="O358" s="144"/>
      <c r="P358" s="144"/>
      <c r="Q358" s="145"/>
      <c r="R358" s="145"/>
      <c r="S358" s="154"/>
      <c r="T358" s="155"/>
      <c r="U358" s="144"/>
      <c r="V358" s="144"/>
    </row>
    <row r="359" spans="1:22" ht="14" x14ac:dyDescent="0.15">
      <c r="A359" s="144"/>
      <c r="B359" s="144"/>
      <c r="C359" s="145"/>
      <c r="D359" s="145"/>
      <c r="E359" s="148"/>
      <c r="F359" s="147"/>
      <c r="G359" s="144"/>
      <c r="H359" s="144"/>
      <c r="I359" s="144"/>
      <c r="J359" s="145"/>
      <c r="K359" s="145"/>
      <c r="L359" s="148"/>
      <c r="M359" s="155"/>
      <c r="N359" s="144"/>
      <c r="O359" s="144"/>
      <c r="P359" s="144"/>
      <c r="Q359" s="145"/>
      <c r="R359" s="145"/>
      <c r="S359" s="154"/>
      <c r="T359" s="155"/>
      <c r="U359" s="144"/>
      <c r="V359" s="144"/>
    </row>
    <row r="360" spans="1:22" ht="14" x14ac:dyDescent="0.15">
      <c r="A360" s="144"/>
      <c r="B360" s="144"/>
      <c r="C360" s="145"/>
      <c r="D360" s="145"/>
      <c r="E360" s="148"/>
      <c r="F360" s="147"/>
      <c r="G360" s="144"/>
      <c r="H360" s="144"/>
      <c r="I360" s="144"/>
      <c r="J360" s="145"/>
      <c r="K360" s="145"/>
      <c r="L360" s="148"/>
      <c r="M360" s="155"/>
      <c r="N360" s="144"/>
      <c r="O360" s="144"/>
      <c r="P360" s="144"/>
      <c r="Q360" s="145"/>
      <c r="R360" s="145"/>
      <c r="S360" s="154"/>
      <c r="T360" s="155"/>
      <c r="U360" s="144"/>
      <c r="V360" s="144"/>
    </row>
    <row r="361" spans="1:22" ht="14" x14ac:dyDescent="0.15">
      <c r="A361" s="144"/>
      <c r="B361" s="144"/>
      <c r="C361" s="145"/>
      <c r="D361" s="145"/>
      <c r="E361" s="148"/>
      <c r="F361" s="147"/>
      <c r="G361" s="144"/>
      <c r="H361" s="144"/>
      <c r="I361" s="144"/>
      <c r="J361" s="145"/>
      <c r="K361" s="145"/>
      <c r="L361" s="148"/>
      <c r="M361" s="155"/>
      <c r="N361" s="144"/>
      <c r="O361" s="144"/>
      <c r="P361" s="144"/>
      <c r="Q361" s="145"/>
      <c r="R361" s="145"/>
      <c r="S361" s="154"/>
      <c r="T361" s="155"/>
      <c r="U361" s="144"/>
      <c r="V361" s="144"/>
    </row>
    <row r="362" spans="1:22" ht="14" x14ac:dyDescent="0.15">
      <c r="A362" s="144"/>
      <c r="B362" s="144"/>
      <c r="C362" s="145"/>
      <c r="D362" s="145"/>
      <c r="E362" s="148"/>
      <c r="F362" s="147"/>
      <c r="G362" s="144"/>
      <c r="H362" s="144"/>
      <c r="I362" s="144"/>
      <c r="J362" s="145"/>
      <c r="K362" s="145"/>
      <c r="L362" s="148"/>
      <c r="M362" s="155"/>
      <c r="N362" s="144"/>
      <c r="O362" s="144"/>
      <c r="P362" s="144"/>
      <c r="Q362" s="145"/>
      <c r="R362" s="145"/>
      <c r="S362" s="154"/>
      <c r="T362" s="155"/>
      <c r="U362" s="144"/>
      <c r="V362" s="144"/>
    </row>
    <row r="363" spans="1:22" ht="14" x14ac:dyDescent="0.15">
      <c r="A363" s="144"/>
      <c r="B363" s="144"/>
      <c r="C363" s="145"/>
      <c r="D363" s="145"/>
      <c r="E363" s="148"/>
      <c r="F363" s="147"/>
      <c r="G363" s="144"/>
      <c r="H363" s="144"/>
      <c r="I363" s="144"/>
      <c r="J363" s="145"/>
      <c r="K363" s="145"/>
      <c r="L363" s="148"/>
      <c r="M363" s="155"/>
      <c r="N363" s="144"/>
      <c r="O363" s="144"/>
      <c r="P363" s="144"/>
      <c r="Q363" s="145"/>
      <c r="R363" s="145"/>
      <c r="S363" s="154"/>
      <c r="T363" s="155"/>
      <c r="U363" s="144"/>
      <c r="V363" s="144"/>
    </row>
    <row r="364" spans="1:22" ht="14" x14ac:dyDescent="0.15">
      <c r="A364" s="144"/>
      <c r="B364" s="144"/>
      <c r="C364" s="145"/>
      <c r="D364" s="145"/>
      <c r="E364" s="148"/>
      <c r="F364" s="147"/>
      <c r="G364" s="144"/>
      <c r="H364" s="144"/>
      <c r="I364" s="144"/>
      <c r="J364" s="145"/>
      <c r="K364" s="145"/>
      <c r="L364" s="148"/>
      <c r="M364" s="155"/>
      <c r="N364" s="144"/>
      <c r="O364" s="144"/>
      <c r="P364" s="144"/>
      <c r="Q364" s="145"/>
      <c r="R364" s="145"/>
      <c r="S364" s="154"/>
      <c r="T364" s="155"/>
      <c r="U364" s="144"/>
      <c r="V364" s="144"/>
    </row>
    <row r="365" spans="1:22" ht="14" x14ac:dyDescent="0.15">
      <c r="A365" s="144"/>
      <c r="B365" s="144"/>
      <c r="C365" s="145"/>
      <c r="D365" s="145"/>
      <c r="E365" s="148"/>
      <c r="F365" s="147"/>
      <c r="G365" s="144"/>
      <c r="H365" s="144"/>
      <c r="I365" s="144"/>
      <c r="J365" s="145"/>
      <c r="K365" s="145"/>
      <c r="L365" s="148"/>
      <c r="M365" s="155"/>
      <c r="N365" s="144"/>
      <c r="O365" s="144"/>
      <c r="P365" s="144"/>
      <c r="Q365" s="145"/>
      <c r="R365" s="145"/>
      <c r="S365" s="154"/>
      <c r="T365" s="155"/>
      <c r="U365" s="144"/>
      <c r="V365" s="144"/>
    </row>
    <row r="366" spans="1:22" ht="14" x14ac:dyDescent="0.15">
      <c r="A366" s="144"/>
      <c r="B366" s="144"/>
      <c r="C366" s="145"/>
      <c r="D366" s="145"/>
      <c r="E366" s="148"/>
      <c r="F366" s="147"/>
      <c r="G366" s="144"/>
      <c r="H366" s="144"/>
      <c r="I366" s="144"/>
      <c r="J366" s="145"/>
      <c r="K366" s="145"/>
      <c r="L366" s="148"/>
      <c r="M366" s="155"/>
      <c r="N366" s="144"/>
      <c r="O366" s="144"/>
      <c r="P366" s="144"/>
      <c r="Q366" s="145"/>
      <c r="R366" s="145"/>
      <c r="S366" s="154"/>
      <c r="T366" s="155"/>
      <c r="U366" s="144"/>
      <c r="V366" s="144"/>
    </row>
    <row r="367" spans="1:22" ht="14" x14ac:dyDescent="0.15">
      <c r="A367" s="144"/>
      <c r="B367" s="144"/>
      <c r="C367" s="145"/>
      <c r="D367" s="145"/>
      <c r="E367" s="148"/>
      <c r="F367" s="147"/>
      <c r="G367" s="144"/>
      <c r="H367" s="144"/>
      <c r="I367" s="144"/>
      <c r="J367" s="145"/>
      <c r="K367" s="145"/>
      <c r="L367" s="148"/>
      <c r="M367" s="155"/>
      <c r="N367" s="144"/>
      <c r="O367" s="144"/>
      <c r="P367" s="144"/>
      <c r="Q367" s="145"/>
      <c r="R367" s="145"/>
      <c r="S367" s="154"/>
      <c r="T367" s="155"/>
      <c r="U367" s="144"/>
      <c r="V367" s="144"/>
    </row>
    <row r="368" spans="1:22" ht="14" x14ac:dyDescent="0.15">
      <c r="A368" s="144"/>
      <c r="B368" s="144"/>
      <c r="C368" s="145"/>
      <c r="D368" s="145"/>
      <c r="E368" s="148"/>
      <c r="F368" s="147"/>
      <c r="G368" s="144"/>
      <c r="H368" s="144"/>
      <c r="I368" s="144"/>
      <c r="J368" s="145"/>
      <c r="K368" s="145"/>
      <c r="L368" s="148"/>
      <c r="M368" s="155"/>
      <c r="N368" s="144"/>
      <c r="O368" s="144"/>
      <c r="P368" s="144"/>
      <c r="Q368" s="145"/>
      <c r="R368" s="145"/>
      <c r="S368" s="154"/>
      <c r="T368" s="155"/>
      <c r="U368" s="144"/>
      <c r="V368" s="144"/>
    </row>
    <row r="369" spans="1:22" ht="14" x14ac:dyDescent="0.15">
      <c r="A369" s="144"/>
      <c r="B369" s="144"/>
      <c r="C369" s="145"/>
      <c r="D369" s="145"/>
      <c r="E369" s="148"/>
      <c r="F369" s="147"/>
      <c r="G369" s="144"/>
      <c r="H369" s="144"/>
      <c r="I369" s="144"/>
      <c r="J369" s="145"/>
      <c r="K369" s="145"/>
      <c r="L369" s="148"/>
      <c r="M369" s="155"/>
      <c r="N369" s="144"/>
      <c r="O369" s="144"/>
      <c r="P369" s="144"/>
      <c r="Q369" s="145"/>
      <c r="R369" s="145"/>
      <c r="S369" s="154"/>
      <c r="T369" s="155"/>
      <c r="U369" s="144"/>
      <c r="V369" s="144"/>
    </row>
    <row r="370" spans="1:22" ht="14" x14ac:dyDescent="0.15">
      <c r="A370" s="144"/>
      <c r="B370" s="144"/>
      <c r="C370" s="145"/>
      <c r="D370" s="145"/>
      <c r="E370" s="148"/>
      <c r="F370" s="147"/>
      <c r="G370" s="144"/>
      <c r="H370" s="144"/>
      <c r="I370" s="144"/>
      <c r="J370" s="145"/>
      <c r="K370" s="145"/>
      <c r="L370" s="148"/>
      <c r="M370" s="155"/>
      <c r="N370" s="144"/>
      <c r="O370" s="144"/>
      <c r="P370" s="144"/>
      <c r="Q370" s="145"/>
      <c r="R370" s="145"/>
      <c r="S370" s="154"/>
      <c r="T370" s="155"/>
      <c r="U370" s="144"/>
      <c r="V370" s="144"/>
    </row>
    <row r="371" spans="1:22" ht="14" x14ac:dyDescent="0.15">
      <c r="A371" s="144"/>
      <c r="B371" s="144"/>
      <c r="C371" s="145"/>
      <c r="D371" s="145"/>
      <c r="E371" s="148"/>
      <c r="F371" s="147"/>
      <c r="G371" s="144"/>
      <c r="H371" s="144"/>
      <c r="I371" s="144"/>
      <c r="J371" s="145"/>
      <c r="K371" s="145"/>
      <c r="L371" s="148"/>
      <c r="M371" s="155"/>
      <c r="N371" s="144"/>
      <c r="O371" s="144"/>
      <c r="P371" s="144"/>
      <c r="Q371" s="145"/>
      <c r="R371" s="145"/>
      <c r="S371" s="154"/>
      <c r="T371" s="155"/>
      <c r="U371" s="144"/>
      <c r="V371" s="144"/>
    </row>
    <row r="372" spans="1:22" ht="14" x14ac:dyDescent="0.15">
      <c r="A372" s="144"/>
      <c r="B372" s="144"/>
      <c r="C372" s="145"/>
      <c r="D372" s="145"/>
      <c r="E372" s="148"/>
      <c r="F372" s="147"/>
      <c r="G372" s="144"/>
      <c r="H372" s="144"/>
      <c r="I372" s="144"/>
      <c r="J372" s="145"/>
      <c r="K372" s="145"/>
      <c r="L372" s="148"/>
      <c r="M372" s="155"/>
      <c r="N372" s="144"/>
      <c r="O372" s="144"/>
      <c r="P372" s="144"/>
      <c r="Q372" s="145"/>
      <c r="R372" s="145"/>
      <c r="S372" s="154"/>
      <c r="T372" s="155"/>
      <c r="U372" s="144"/>
      <c r="V372" s="144"/>
    </row>
    <row r="373" spans="1:22" ht="14" x14ac:dyDescent="0.15">
      <c r="A373" s="144"/>
      <c r="B373" s="144"/>
      <c r="C373" s="145"/>
      <c r="D373" s="145"/>
      <c r="E373" s="148"/>
      <c r="F373" s="147"/>
      <c r="G373" s="144"/>
      <c r="H373" s="144"/>
      <c r="I373" s="144"/>
      <c r="J373" s="145"/>
      <c r="K373" s="145"/>
      <c r="L373" s="148"/>
      <c r="M373" s="155"/>
      <c r="N373" s="144"/>
      <c r="O373" s="144"/>
      <c r="P373" s="144"/>
      <c r="Q373" s="145"/>
      <c r="R373" s="145"/>
      <c r="S373" s="154"/>
      <c r="T373" s="155"/>
      <c r="U373" s="144"/>
      <c r="V373" s="144"/>
    </row>
    <row r="374" spans="1:22" ht="14" x14ac:dyDescent="0.15">
      <c r="A374" s="144"/>
      <c r="B374" s="144"/>
      <c r="C374" s="145"/>
      <c r="D374" s="145"/>
      <c r="E374" s="148"/>
      <c r="F374" s="147"/>
      <c r="G374" s="144"/>
      <c r="H374" s="144"/>
      <c r="I374" s="144"/>
      <c r="J374" s="145"/>
      <c r="K374" s="145"/>
      <c r="L374" s="148"/>
      <c r="M374" s="155"/>
      <c r="N374" s="144"/>
      <c r="O374" s="144"/>
      <c r="P374" s="144"/>
      <c r="Q374" s="145"/>
      <c r="R374" s="145"/>
      <c r="S374" s="154"/>
      <c r="T374" s="155"/>
      <c r="U374" s="144"/>
      <c r="V374" s="144"/>
    </row>
    <row r="375" spans="1:22" ht="14" x14ac:dyDescent="0.15">
      <c r="A375" s="144"/>
      <c r="B375" s="144"/>
      <c r="C375" s="145"/>
      <c r="D375" s="145"/>
      <c r="E375" s="148"/>
      <c r="F375" s="147"/>
      <c r="G375" s="144"/>
      <c r="H375" s="144"/>
      <c r="I375" s="144"/>
      <c r="J375" s="145"/>
      <c r="K375" s="145"/>
      <c r="L375" s="148"/>
      <c r="M375" s="155"/>
      <c r="N375" s="144"/>
      <c r="O375" s="144"/>
      <c r="P375" s="144"/>
      <c r="Q375" s="145"/>
      <c r="R375" s="145"/>
      <c r="S375" s="154"/>
      <c r="T375" s="155"/>
      <c r="U375" s="144"/>
      <c r="V375" s="144"/>
    </row>
    <row r="376" spans="1:22" ht="14" x14ac:dyDescent="0.15">
      <c r="A376" s="144"/>
      <c r="B376" s="144"/>
      <c r="C376" s="145"/>
      <c r="D376" s="145"/>
      <c r="E376" s="148"/>
      <c r="F376" s="147"/>
      <c r="G376" s="144"/>
      <c r="H376" s="144"/>
      <c r="I376" s="144"/>
      <c r="J376" s="145"/>
      <c r="K376" s="145"/>
      <c r="L376" s="148"/>
      <c r="M376" s="155"/>
      <c r="N376" s="144"/>
      <c r="O376" s="144"/>
      <c r="P376" s="144"/>
      <c r="Q376" s="145"/>
      <c r="R376" s="145"/>
      <c r="S376" s="154"/>
      <c r="T376" s="155"/>
      <c r="U376" s="144"/>
      <c r="V376" s="144"/>
    </row>
    <row r="377" spans="1:22" ht="14" x14ac:dyDescent="0.15">
      <c r="A377" s="144"/>
      <c r="B377" s="144"/>
      <c r="C377" s="145"/>
      <c r="D377" s="145"/>
      <c r="E377" s="148"/>
      <c r="F377" s="147"/>
      <c r="G377" s="144"/>
      <c r="H377" s="144"/>
      <c r="I377" s="144"/>
      <c r="J377" s="145"/>
      <c r="K377" s="145"/>
      <c r="L377" s="148"/>
      <c r="M377" s="155"/>
      <c r="N377" s="144"/>
      <c r="O377" s="144"/>
      <c r="P377" s="144"/>
      <c r="Q377" s="145"/>
      <c r="R377" s="145"/>
      <c r="S377" s="154"/>
      <c r="T377" s="155"/>
      <c r="U377" s="144"/>
      <c r="V377" s="144"/>
    </row>
    <row r="378" spans="1:22" ht="14" x14ac:dyDescent="0.15">
      <c r="A378" s="144"/>
      <c r="B378" s="144"/>
      <c r="C378" s="145"/>
      <c r="D378" s="145"/>
      <c r="E378" s="148"/>
      <c r="F378" s="147"/>
      <c r="G378" s="144"/>
      <c r="H378" s="144"/>
      <c r="I378" s="144"/>
      <c r="J378" s="145"/>
      <c r="K378" s="145"/>
      <c r="L378" s="148"/>
      <c r="M378" s="155"/>
      <c r="N378" s="144"/>
      <c r="O378" s="144"/>
      <c r="P378" s="144"/>
      <c r="Q378" s="145"/>
      <c r="R378" s="145"/>
      <c r="S378" s="154"/>
      <c r="T378" s="155"/>
      <c r="U378" s="144"/>
      <c r="V378" s="144"/>
    </row>
    <row r="379" spans="1:22" ht="14" x14ac:dyDescent="0.15">
      <c r="A379" s="144"/>
      <c r="B379" s="144"/>
      <c r="C379" s="145"/>
      <c r="D379" s="145"/>
      <c r="E379" s="148"/>
      <c r="F379" s="147"/>
      <c r="G379" s="144"/>
      <c r="H379" s="144"/>
      <c r="I379" s="144"/>
      <c r="J379" s="145"/>
      <c r="K379" s="145"/>
      <c r="L379" s="148"/>
      <c r="M379" s="155"/>
      <c r="N379" s="144"/>
      <c r="O379" s="144"/>
      <c r="P379" s="144"/>
      <c r="Q379" s="145"/>
      <c r="R379" s="145"/>
      <c r="S379" s="154"/>
      <c r="T379" s="155"/>
      <c r="U379" s="144"/>
      <c r="V379" s="144"/>
    </row>
    <row r="380" spans="1:22" ht="14" x14ac:dyDescent="0.15">
      <c r="A380" s="144"/>
      <c r="B380" s="144"/>
      <c r="C380" s="145"/>
      <c r="D380" s="145"/>
      <c r="E380" s="148"/>
      <c r="F380" s="147"/>
      <c r="G380" s="144"/>
      <c r="H380" s="144"/>
      <c r="I380" s="144"/>
      <c r="J380" s="145"/>
      <c r="K380" s="145"/>
      <c r="L380" s="148"/>
      <c r="M380" s="155"/>
      <c r="N380" s="144"/>
      <c r="O380" s="144"/>
      <c r="P380" s="144"/>
      <c r="Q380" s="145"/>
      <c r="R380" s="145"/>
      <c r="S380" s="154"/>
      <c r="T380" s="155"/>
      <c r="U380" s="144"/>
      <c r="V380" s="144"/>
    </row>
    <row r="381" spans="1:22" ht="14" x14ac:dyDescent="0.15">
      <c r="A381" s="144"/>
      <c r="B381" s="144"/>
      <c r="C381" s="145"/>
      <c r="D381" s="145"/>
      <c r="E381" s="148"/>
      <c r="F381" s="147"/>
      <c r="G381" s="144"/>
      <c r="H381" s="144"/>
      <c r="I381" s="144"/>
      <c r="J381" s="145"/>
      <c r="K381" s="145"/>
      <c r="L381" s="148"/>
      <c r="M381" s="155"/>
      <c r="N381" s="144"/>
      <c r="O381" s="144"/>
      <c r="P381" s="144"/>
      <c r="Q381" s="145"/>
      <c r="R381" s="145"/>
      <c r="S381" s="154"/>
      <c r="T381" s="155"/>
      <c r="U381" s="144"/>
      <c r="V381" s="144"/>
    </row>
    <row r="382" spans="1:22" ht="14" x14ac:dyDescent="0.15">
      <c r="A382" s="144"/>
      <c r="B382" s="144"/>
      <c r="C382" s="145"/>
      <c r="D382" s="145"/>
      <c r="E382" s="148"/>
      <c r="F382" s="147"/>
      <c r="G382" s="144"/>
      <c r="H382" s="144"/>
      <c r="I382" s="144"/>
      <c r="J382" s="145"/>
      <c r="K382" s="145"/>
      <c r="L382" s="148"/>
      <c r="M382" s="155"/>
      <c r="N382" s="144"/>
      <c r="O382" s="144"/>
      <c r="P382" s="144"/>
      <c r="Q382" s="145"/>
      <c r="R382" s="145"/>
      <c r="S382" s="154"/>
      <c r="T382" s="155"/>
      <c r="U382" s="144"/>
      <c r="V382" s="144"/>
    </row>
    <row r="383" spans="1:22" ht="14" x14ac:dyDescent="0.15">
      <c r="A383" s="144"/>
      <c r="B383" s="144"/>
      <c r="C383" s="145"/>
      <c r="D383" s="145"/>
      <c r="E383" s="148"/>
      <c r="F383" s="147"/>
      <c r="G383" s="144"/>
      <c r="H383" s="144"/>
      <c r="I383" s="144"/>
      <c r="J383" s="145"/>
      <c r="K383" s="145"/>
      <c r="L383" s="148"/>
      <c r="M383" s="155"/>
      <c r="N383" s="144"/>
      <c r="O383" s="144"/>
      <c r="P383" s="144"/>
      <c r="Q383" s="145"/>
      <c r="R383" s="145"/>
      <c r="S383" s="154"/>
      <c r="T383" s="155"/>
      <c r="U383" s="144"/>
      <c r="V383" s="144"/>
    </row>
    <row r="384" spans="1:22" ht="14" x14ac:dyDescent="0.15">
      <c r="A384" s="144"/>
      <c r="B384" s="144"/>
      <c r="C384" s="145"/>
      <c r="D384" s="145"/>
      <c r="E384" s="148"/>
      <c r="F384" s="147"/>
      <c r="G384" s="144"/>
      <c r="H384" s="144"/>
      <c r="I384" s="144"/>
      <c r="J384" s="145"/>
      <c r="K384" s="145"/>
      <c r="L384" s="148"/>
      <c r="M384" s="155"/>
      <c r="N384" s="144"/>
      <c r="O384" s="144"/>
      <c r="P384" s="144"/>
      <c r="Q384" s="145"/>
      <c r="R384" s="145"/>
      <c r="S384" s="154"/>
      <c r="T384" s="155"/>
      <c r="U384" s="144"/>
      <c r="V384" s="144"/>
    </row>
    <row r="385" spans="1:22" ht="14" x14ac:dyDescent="0.15">
      <c r="A385" s="144"/>
      <c r="B385" s="144"/>
      <c r="C385" s="145"/>
      <c r="D385" s="145"/>
      <c r="E385" s="148"/>
      <c r="F385" s="147"/>
      <c r="G385" s="144"/>
      <c r="H385" s="144"/>
      <c r="I385" s="144"/>
      <c r="J385" s="145"/>
      <c r="K385" s="145"/>
      <c r="L385" s="148"/>
      <c r="M385" s="155"/>
      <c r="N385" s="144"/>
      <c r="O385" s="144"/>
      <c r="P385" s="144"/>
      <c r="Q385" s="145"/>
      <c r="R385" s="145"/>
      <c r="S385" s="154"/>
      <c r="T385" s="155"/>
      <c r="U385" s="144"/>
      <c r="V385" s="144"/>
    </row>
    <row r="386" spans="1:22" ht="14" x14ac:dyDescent="0.15">
      <c r="A386" s="144"/>
      <c r="B386" s="144"/>
      <c r="C386" s="145"/>
      <c r="D386" s="145"/>
      <c r="E386" s="148"/>
      <c r="F386" s="147"/>
      <c r="G386" s="144"/>
      <c r="H386" s="144"/>
      <c r="I386" s="144"/>
      <c r="J386" s="145"/>
      <c r="K386" s="145"/>
      <c r="L386" s="148"/>
      <c r="M386" s="155"/>
      <c r="N386" s="144"/>
      <c r="O386" s="144"/>
      <c r="P386" s="144"/>
      <c r="Q386" s="145"/>
      <c r="R386" s="145"/>
      <c r="S386" s="154"/>
      <c r="T386" s="155"/>
      <c r="U386" s="144"/>
      <c r="V386" s="144"/>
    </row>
    <row r="387" spans="1:22" ht="14" x14ac:dyDescent="0.15">
      <c r="A387" s="144"/>
      <c r="B387" s="144"/>
      <c r="C387" s="145"/>
      <c r="D387" s="145"/>
      <c r="E387" s="148"/>
      <c r="F387" s="147"/>
      <c r="G387" s="144"/>
      <c r="H387" s="144"/>
      <c r="I387" s="144"/>
      <c r="J387" s="145"/>
      <c r="K387" s="145"/>
      <c r="L387" s="148"/>
      <c r="M387" s="155"/>
      <c r="N387" s="144"/>
      <c r="O387" s="144"/>
      <c r="P387" s="144"/>
      <c r="Q387" s="145"/>
      <c r="R387" s="145"/>
      <c r="S387" s="154"/>
      <c r="T387" s="155"/>
      <c r="U387" s="144"/>
      <c r="V387" s="144"/>
    </row>
    <row r="388" spans="1:22" ht="14" x14ac:dyDescent="0.15">
      <c r="A388" s="144"/>
      <c r="B388" s="144"/>
      <c r="C388" s="145"/>
      <c r="D388" s="145"/>
      <c r="E388" s="148"/>
      <c r="F388" s="147"/>
      <c r="G388" s="144"/>
      <c r="H388" s="144"/>
      <c r="I388" s="144"/>
      <c r="J388" s="145"/>
      <c r="K388" s="145"/>
      <c r="L388" s="148"/>
      <c r="M388" s="155"/>
      <c r="N388" s="144"/>
      <c r="O388" s="144"/>
      <c r="P388" s="144"/>
      <c r="Q388" s="145"/>
      <c r="R388" s="145"/>
      <c r="S388" s="154"/>
      <c r="T388" s="155"/>
      <c r="U388" s="144"/>
      <c r="V388" s="144"/>
    </row>
    <row r="389" spans="1:22" ht="14" x14ac:dyDescent="0.15">
      <c r="A389" s="144"/>
      <c r="B389" s="144"/>
      <c r="C389" s="145"/>
      <c r="D389" s="145"/>
      <c r="E389" s="148"/>
      <c r="F389" s="147"/>
      <c r="G389" s="144"/>
      <c r="H389" s="144"/>
      <c r="I389" s="144"/>
      <c r="J389" s="145"/>
      <c r="K389" s="145"/>
      <c r="L389" s="148"/>
      <c r="M389" s="155"/>
      <c r="N389" s="144"/>
      <c r="O389" s="144"/>
      <c r="P389" s="144"/>
      <c r="Q389" s="145"/>
      <c r="R389" s="145"/>
      <c r="S389" s="154"/>
      <c r="T389" s="155"/>
      <c r="U389" s="144"/>
      <c r="V389" s="144"/>
    </row>
    <row r="390" spans="1:22" ht="14" x14ac:dyDescent="0.15">
      <c r="A390" s="144"/>
      <c r="B390" s="144"/>
      <c r="C390" s="145"/>
      <c r="D390" s="145"/>
      <c r="E390" s="148"/>
      <c r="F390" s="147"/>
      <c r="G390" s="144"/>
      <c r="H390" s="144"/>
      <c r="I390" s="144"/>
      <c r="J390" s="145"/>
      <c r="K390" s="145"/>
      <c r="L390" s="148"/>
      <c r="M390" s="155"/>
      <c r="N390" s="144"/>
      <c r="O390" s="144"/>
      <c r="P390" s="144"/>
      <c r="Q390" s="145"/>
      <c r="R390" s="145"/>
      <c r="S390" s="154"/>
      <c r="T390" s="155"/>
      <c r="U390" s="144"/>
      <c r="V390" s="144"/>
    </row>
    <row r="391" spans="1:22" ht="14" x14ac:dyDescent="0.15">
      <c r="A391" s="144"/>
      <c r="B391" s="144"/>
      <c r="C391" s="145"/>
      <c r="D391" s="145"/>
      <c r="E391" s="148"/>
      <c r="F391" s="147"/>
      <c r="G391" s="144"/>
      <c r="H391" s="144"/>
      <c r="I391" s="144"/>
      <c r="J391" s="145"/>
      <c r="K391" s="145"/>
      <c r="L391" s="148"/>
      <c r="M391" s="155"/>
      <c r="N391" s="144"/>
      <c r="O391" s="144"/>
      <c r="P391" s="144"/>
      <c r="Q391" s="145"/>
      <c r="R391" s="145"/>
      <c r="S391" s="154"/>
      <c r="T391" s="155"/>
      <c r="U391" s="144"/>
      <c r="V391" s="144"/>
    </row>
    <row r="392" spans="1:22" ht="14" x14ac:dyDescent="0.15">
      <c r="A392" s="144"/>
      <c r="B392" s="144"/>
      <c r="C392" s="145"/>
      <c r="D392" s="145"/>
      <c r="E392" s="148"/>
      <c r="F392" s="147"/>
      <c r="G392" s="144"/>
      <c r="H392" s="144"/>
      <c r="I392" s="144"/>
      <c r="J392" s="145"/>
      <c r="K392" s="145"/>
      <c r="L392" s="148"/>
      <c r="M392" s="155"/>
      <c r="N392" s="144"/>
      <c r="O392" s="144"/>
      <c r="P392" s="144"/>
      <c r="Q392" s="145"/>
      <c r="R392" s="145"/>
      <c r="S392" s="154"/>
      <c r="T392" s="155"/>
      <c r="U392" s="144"/>
      <c r="V392" s="144"/>
    </row>
    <row r="393" spans="1:22" ht="14" x14ac:dyDescent="0.15">
      <c r="A393" s="144"/>
      <c r="B393" s="144"/>
      <c r="C393" s="145"/>
      <c r="D393" s="145"/>
      <c r="E393" s="148"/>
      <c r="F393" s="147"/>
      <c r="G393" s="144"/>
      <c r="H393" s="144"/>
      <c r="I393" s="144"/>
      <c r="J393" s="145"/>
      <c r="K393" s="145"/>
      <c r="L393" s="148"/>
      <c r="M393" s="155"/>
      <c r="N393" s="144"/>
      <c r="O393" s="144"/>
      <c r="P393" s="144"/>
      <c r="Q393" s="145"/>
      <c r="R393" s="145"/>
      <c r="S393" s="154"/>
      <c r="T393" s="155"/>
      <c r="U393" s="144"/>
      <c r="V393" s="144"/>
    </row>
    <row r="394" spans="1:22" ht="14" x14ac:dyDescent="0.15">
      <c r="A394" s="144"/>
      <c r="B394" s="144"/>
      <c r="C394" s="145"/>
      <c r="D394" s="145"/>
      <c r="E394" s="148"/>
      <c r="F394" s="147"/>
      <c r="G394" s="144"/>
      <c r="H394" s="144"/>
      <c r="I394" s="144"/>
      <c r="J394" s="145"/>
      <c r="K394" s="145"/>
      <c r="L394" s="148"/>
      <c r="M394" s="155"/>
      <c r="N394" s="144"/>
      <c r="O394" s="144"/>
      <c r="P394" s="144"/>
      <c r="Q394" s="145"/>
      <c r="R394" s="145"/>
      <c r="S394" s="154"/>
      <c r="T394" s="155"/>
      <c r="U394" s="144"/>
      <c r="V394" s="144"/>
    </row>
    <row r="395" spans="1:22" ht="14" x14ac:dyDescent="0.15">
      <c r="A395" s="144"/>
      <c r="B395" s="144"/>
      <c r="C395" s="145"/>
      <c r="D395" s="145"/>
      <c r="E395" s="148"/>
      <c r="F395" s="147"/>
      <c r="G395" s="144"/>
      <c r="H395" s="144"/>
      <c r="I395" s="144"/>
      <c r="J395" s="145"/>
      <c r="K395" s="145"/>
      <c r="L395" s="148"/>
      <c r="M395" s="155"/>
      <c r="N395" s="144"/>
      <c r="O395" s="144"/>
      <c r="P395" s="144"/>
      <c r="Q395" s="145"/>
      <c r="R395" s="145"/>
      <c r="S395" s="154"/>
      <c r="T395" s="155"/>
      <c r="U395" s="144"/>
      <c r="V395" s="144"/>
    </row>
    <row r="396" spans="1:22" ht="14" x14ac:dyDescent="0.15">
      <c r="A396" s="144"/>
      <c r="B396" s="144"/>
      <c r="C396" s="145"/>
      <c r="D396" s="145"/>
      <c r="E396" s="148"/>
      <c r="F396" s="147"/>
      <c r="G396" s="144"/>
      <c r="H396" s="144"/>
      <c r="I396" s="144"/>
      <c r="J396" s="145"/>
      <c r="K396" s="145"/>
      <c r="L396" s="148"/>
      <c r="M396" s="155"/>
      <c r="N396" s="144"/>
      <c r="O396" s="144"/>
      <c r="P396" s="144"/>
      <c r="Q396" s="145"/>
      <c r="R396" s="145"/>
      <c r="S396" s="154"/>
      <c r="T396" s="155"/>
      <c r="U396" s="144"/>
      <c r="V396" s="144"/>
    </row>
    <row r="397" spans="1:22" ht="14" x14ac:dyDescent="0.15">
      <c r="A397" s="144"/>
      <c r="B397" s="144"/>
      <c r="C397" s="145"/>
      <c r="D397" s="145"/>
      <c r="E397" s="148"/>
      <c r="F397" s="147"/>
      <c r="G397" s="144"/>
      <c r="H397" s="144"/>
      <c r="I397" s="144"/>
      <c r="J397" s="145"/>
      <c r="K397" s="145"/>
      <c r="L397" s="148"/>
      <c r="M397" s="155"/>
      <c r="N397" s="144"/>
      <c r="O397" s="144"/>
      <c r="P397" s="144"/>
      <c r="Q397" s="145"/>
      <c r="R397" s="145"/>
      <c r="S397" s="154"/>
      <c r="T397" s="155"/>
      <c r="U397" s="144"/>
      <c r="V397" s="144"/>
    </row>
    <row r="398" spans="1:22" ht="14" x14ac:dyDescent="0.15">
      <c r="A398" s="144"/>
      <c r="B398" s="144"/>
      <c r="C398" s="145"/>
      <c r="D398" s="145"/>
      <c r="E398" s="148"/>
      <c r="F398" s="147"/>
      <c r="G398" s="144"/>
      <c r="H398" s="144"/>
      <c r="I398" s="144"/>
      <c r="J398" s="145"/>
      <c r="K398" s="145"/>
      <c r="L398" s="148"/>
      <c r="M398" s="155"/>
      <c r="N398" s="144"/>
      <c r="O398" s="144"/>
      <c r="P398" s="144"/>
      <c r="Q398" s="145"/>
      <c r="R398" s="145"/>
      <c r="S398" s="154"/>
      <c r="T398" s="155"/>
      <c r="U398" s="144"/>
      <c r="V398" s="144"/>
    </row>
    <row r="399" spans="1:22" ht="14" x14ac:dyDescent="0.15">
      <c r="A399" s="144"/>
      <c r="B399" s="144"/>
      <c r="C399" s="145"/>
      <c r="D399" s="145"/>
      <c r="E399" s="148"/>
      <c r="F399" s="147"/>
      <c r="G399" s="144"/>
      <c r="H399" s="144"/>
      <c r="I399" s="144"/>
      <c r="J399" s="145"/>
      <c r="K399" s="145"/>
      <c r="L399" s="148"/>
      <c r="M399" s="155"/>
      <c r="N399" s="144"/>
      <c r="O399" s="144"/>
      <c r="P399" s="144"/>
      <c r="Q399" s="145"/>
      <c r="R399" s="145"/>
      <c r="S399" s="154"/>
      <c r="T399" s="155"/>
      <c r="U399" s="144"/>
      <c r="V399" s="144"/>
    </row>
    <row r="400" spans="1:22" ht="14" x14ac:dyDescent="0.15">
      <c r="A400" s="144"/>
      <c r="B400" s="144"/>
      <c r="C400" s="145"/>
      <c r="D400" s="145"/>
      <c r="E400" s="148"/>
      <c r="F400" s="147"/>
      <c r="G400" s="144"/>
      <c r="H400" s="144"/>
      <c r="I400" s="144"/>
      <c r="J400" s="145"/>
      <c r="K400" s="145"/>
      <c r="L400" s="148"/>
      <c r="M400" s="155"/>
      <c r="N400" s="144"/>
      <c r="O400" s="144"/>
      <c r="P400" s="144"/>
      <c r="Q400" s="145"/>
      <c r="R400" s="145"/>
      <c r="S400" s="154"/>
      <c r="T400" s="155"/>
      <c r="U400" s="144"/>
      <c r="V400" s="144"/>
    </row>
    <row r="401" spans="1:22" ht="14" x14ac:dyDescent="0.15">
      <c r="A401" s="144"/>
      <c r="B401" s="144"/>
      <c r="C401" s="145"/>
      <c r="D401" s="145"/>
      <c r="E401" s="148"/>
      <c r="F401" s="147"/>
      <c r="G401" s="144"/>
      <c r="H401" s="144"/>
      <c r="I401" s="144"/>
      <c r="J401" s="145"/>
      <c r="K401" s="145"/>
      <c r="L401" s="148"/>
      <c r="M401" s="155"/>
      <c r="N401" s="144"/>
      <c r="O401" s="144"/>
      <c r="P401" s="144"/>
      <c r="Q401" s="145"/>
      <c r="R401" s="145"/>
      <c r="S401" s="154"/>
      <c r="T401" s="155"/>
      <c r="U401" s="144"/>
      <c r="V401" s="144"/>
    </row>
    <row r="402" spans="1:22" ht="14" x14ac:dyDescent="0.15">
      <c r="A402" s="144"/>
      <c r="B402" s="144"/>
      <c r="C402" s="145"/>
      <c r="D402" s="145"/>
      <c r="E402" s="148"/>
      <c r="F402" s="147"/>
      <c r="G402" s="144"/>
      <c r="H402" s="144"/>
      <c r="I402" s="144"/>
      <c r="J402" s="145"/>
      <c r="K402" s="145"/>
      <c r="L402" s="148"/>
      <c r="M402" s="155"/>
      <c r="N402" s="144"/>
      <c r="O402" s="144"/>
      <c r="P402" s="144"/>
      <c r="Q402" s="145"/>
      <c r="R402" s="145"/>
      <c r="S402" s="154"/>
      <c r="T402" s="155"/>
      <c r="U402" s="144"/>
      <c r="V402" s="144"/>
    </row>
    <row r="403" spans="1:22" ht="14" x14ac:dyDescent="0.15">
      <c r="A403" s="144"/>
      <c r="B403" s="144"/>
      <c r="C403" s="145"/>
      <c r="D403" s="145"/>
      <c r="E403" s="148"/>
      <c r="F403" s="147"/>
      <c r="G403" s="144"/>
      <c r="H403" s="144"/>
      <c r="I403" s="144"/>
      <c r="J403" s="145"/>
      <c r="K403" s="145"/>
      <c r="L403" s="148"/>
      <c r="M403" s="155"/>
      <c r="N403" s="144"/>
      <c r="O403" s="144"/>
      <c r="P403" s="144"/>
      <c r="Q403" s="145"/>
      <c r="R403" s="145"/>
      <c r="S403" s="154"/>
      <c r="T403" s="155"/>
      <c r="U403" s="144"/>
      <c r="V403" s="144"/>
    </row>
    <row r="404" spans="1:22" ht="14" x14ac:dyDescent="0.15">
      <c r="A404" s="144"/>
      <c r="B404" s="144"/>
      <c r="C404" s="145"/>
      <c r="D404" s="145"/>
      <c r="E404" s="148"/>
      <c r="F404" s="147"/>
      <c r="G404" s="144"/>
      <c r="H404" s="144"/>
      <c r="I404" s="144"/>
      <c r="J404" s="145"/>
      <c r="K404" s="145"/>
      <c r="L404" s="148"/>
      <c r="M404" s="155"/>
      <c r="N404" s="144"/>
      <c r="O404" s="144"/>
      <c r="P404" s="144"/>
      <c r="Q404" s="145"/>
      <c r="R404" s="145"/>
      <c r="S404" s="154"/>
      <c r="T404" s="155"/>
      <c r="U404" s="144"/>
      <c r="V404" s="144"/>
    </row>
    <row r="405" spans="1:22" ht="14" x14ac:dyDescent="0.15">
      <c r="A405" s="144"/>
      <c r="B405" s="144"/>
      <c r="C405" s="145"/>
      <c r="D405" s="145"/>
      <c r="E405" s="148"/>
      <c r="F405" s="147"/>
      <c r="G405" s="144"/>
      <c r="H405" s="144"/>
      <c r="I405" s="144"/>
      <c r="J405" s="145"/>
      <c r="K405" s="145"/>
      <c r="L405" s="148"/>
      <c r="M405" s="155"/>
      <c r="N405" s="144"/>
      <c r="O405" s="144"/>
      <c r="P405" s="144"/>
      <c r="Q405" s="145"/>
      <c r="R405" s="145"/>
      <c r="S405" s="154"/>
      <c r="T405" s="155"/>
      <c r="U405" s="144"/>
      <c r="V405" s="144"/>
    </row>
    <row r="406" spans="1:22" ht="14" x14ac:dyDescent="0.15">
      <c r="A406" s="144"/>
      <c r="B406" s="144"/>
      <c r="C406" s="145"/>
      <c r="D406" s="145"/>
      <c r="E406" s="148"/>
      <c r="F406" s="147"/>
      <c r="G406" s="144"/>
      <c r="H406" s="144"/>
      <c r="I406" s="144"/>
      <c r="J406" s="145"/>
      <c r="K406" s="145"/>
      <c r="L406" s="148"/>
      <c r="M406" s="155"/>
      <c r="N406" s="144"/>
      <c r="O406" s="144"/>
      <c r="P406" s="144"/>
      <c r="Q406" s="145"/>
      <c r="R406" s="145"/>
      <c r="S406" s="154"/>
      <c r="T406" s="155"/>
      <c r="U406" s="144"/>
      <c r="V406" s="144"/>
    </row>
    <row r="407" spans="1:22" ht="14" x14ac:dyDescent="0.15">
      <c r="A407" s="144"/>
      <c r="B407" s="144"/>
      <c r="C407" s="145"/>
      <c r="D407" s="145"/>
      <c r="E407" s="148"/>
      <c r="F407" s="147"/>
      <c r="G407" s="144"/>
      <c r="H407" s="144"/>
      <c r="I407" s="144"/>
      <c r="J407" s="145"/>
      <c r="K407" s="145"/>
      <c r="L407" s="148"/>
      <c r="M407" s="155"/>
      <c r="N407" s="144"/>
      <c r="O407" s="144"/>
      <c r="P407" s="144"/>
      <c r="Q407" s="145"/>
      <c r="R407" s="145"/>
      <c r="S407" s="154"/>
      <c r="T407" s="155"/>
      <c r="U407" s="144"/>
      <c r="V407" s="144"/>
    </row>
    <row r="408" spans="1:22" ht="14" x14ac:dyDescent="0.15">
      <c r="A408" s="144"/>
      <c r="B408" s="144"/>
      <c r="C408" s="145"/>
      <c r="D408" s="145"/>
      <c r="E408" s="148"/>
      <c r="F408" s="147"/>
      <c r="G408" s="144"/>
      <c r="H408" s="144"/>
      <c r="I408" s="144"/>
      <c r="J408" s="145"/>
      <c r="K408" s="145"/>
      <c r="L408" s="148"/>
      <c r="M408" s="155"/>
      <c r="N408" s="144"/>
      <c r="O408" s="144"/>
      <c r="P408" s="144"/>
      <c r="Q408" s="145"/>
      <c r="R408" s="145"/>
      <c r="S408" s="154"/>
      <c r="T408" s="155"/>
      <c r="U408" s="144"/>
      <c r="V408" s="144"/>
    </row>
    <row r="409" spans="1:22" ht="14" x14ac:dyDescent="0.15">
      <c r="A409" s="144"/>
      <c r="B409" s="144"/>
      <c r="C409" s="145"/>
      <c r="D409" s="145"/>
      <c r="E409" s="148"/>
      <c r="F409" s="147"/>
      <c r="G409" s="144"/>
      <c r="H409" s="144"/>
      <c r="I409" s="144"/>
      <c r="J409" s="145"/>
      <c r="K409" s="145"/>
      <c r="L409" s="148"/>
      <c r="M409" s="155"/>
      <c r="N409" s="144"/>
      <c r="O409" s="144"/>
      <c r="P409" s="144"/>
      <c r="Q409" s="145"/>
      <c r="R409" s="145"/>
      <c r="S409" s="154"/>
      <c r="T409" s="155"/>
      <c r="U409" s="144"/>
      <c r="V409" s="144"/>
    </row>
    <row r="410" spans="1:22" ht="14" x14ac:dyDescent="0.15">
      <c r="A410" s="144"/>
      <c r="B410" s="144"/>
      <c r="C410" s="145"/>
      <c r="D410" s="145"/>
      <c r="E410" s="148"/>
      <c r="F410" s="147"/>
      <c r="G410" s="144"/>
      <c r="H410" s="144"/>
      <c r="I410" s="144"/>
      <c r="J410" s="145"/>
      <c r="K410" s="145"/>
      <c r="L410" s="148"/>
      <c r="M410" s="155"/>
      <c r="N410" s="144"/>
      <c r="O410" s="144"/>
      <c r="P410" s="144"/>
      <c r="Q410" s="145"/>
      <c r="R410" s="145"/>
      <c r="S410" s="154"/>
      <c r="T410" s="155"/>
      <c r="U410" s="144"/>
      <c r="V410" s="144"/>
    </row>
    <row r="411" spans="1:22" ht="14" x14ac:dyDescent="0.15">
      <c r="A411" s="144"/>
      <c r="B411" s="144"/>
      <c r="C411" s="145"/>
      <c r="D411" s="145"/>
      <c r="E411" s="148"/>
      <c r="F411" s="147"/>
      <c r="G411" s="144"/>
      <c r="H411" s="144"/>
      <c r="I411" s="144"/>
      <c r="J411" s="145"/>
      <c r="K411" s="145"/>
      <c r="L411" s="148"/>
      <c r="M411" s="155"/>
      <c r="N411" s="144"/>
      <c r="O411" s="144"/>
      <c r="P411" s="144"/>
      <c r="Q411" s="145"/>
      <c r="R411" s="145"/>
      <c r="S411" s="154"/>
      <c r="T411" s="155"/>
      <c r="U411" s="144"/>
      <c r="V411" s="144"/>
    </row>
    <row r="412" spans="1:22" ht="14" x14ac:dyDescent="0.15">
      <c r="A412" s="144"/>
      <c r="B412" s="144"/>
      <c r="C412" s="145"/>
      <c r="D412" s="145"/>
      <c r="E412" s="148"/>
      <c r="F412" s="147"/>
      <c r="G412" s="144"/>
      <c r="H412" s="144"/>
      <c r="I412" s="144"/>
      <c r="J412" s="145"/>
      <c r="K412" s="145"/>
      <c r="L412" s="148"/>
      <c r="M412" s="155"/>
      <c r="N412" s="144"/>
      <c r="O412" s="144"/>
      <c r="P412" s="144"/>
      <c r="Q412" s="145"/>
      <c r="R412" s="145"/>
      <c r="S412" s="154"/>
      <c r="T412" s="155"/>
      <c r="U412" s="144"/>
      <c r="V412" s="144"/>
    </row>
    <row r="413" spans="1:22" ht="14" x14ac:dyDescent="0.15">
      <c r="A413" s="144"/>
      <c r="B413" s="144"/>
      <c r="C413" s="145"/>
      <c r="D413" s="145"/>
      <c r="E413" s="148"/>
      <c r="F413" s="147"/>
      <c r="G413" s="144"/>
      <c r="H413" s="144"/>
      <c r="I413" s="144"/>
      <c r="J413" s="145"/>
      <c r="K413" s="145"/>
      <c r="L413" s="148"/>
      <c r="M413" s="155"/>
      <c r="N413" s="144"/>
      <c r="O413" s="144"/>
      <c r="P413" s="144"/>
      <c r="Q413" s="145"/>
      <c r="R413" s="145"/>
      <c r="S413" s="154"/>
      <c r="T413" s="155"/>
      <c r="U413" s="144"/>
      <c r="V413" s="144"/>
    </row>
    <row r="414" spans="1:22" ht="14" x14ac:dyDescent="0.15">
      <c r="A414" s="144"/>
      <c r="B414" s="144"/>
      <c r="C414" s="145"/>
      <c r="D414" s="145"/>
      <c r="E414" s="148"/>
      <c r="F414" s="147"/>
      <c r="G414" s="144"/>
      <c r="H414" s="144"/>
      <c r="I414" s="144"/>
      <c r="J414" s="145"/>
      <c r="K414" s="145"/>
      <c r="L414" s="148"/>
      <c r="M414" s="155"/>
      <c r="N414" s="144"/>
      <c r="O414" s="144"/>
      <c r="P414" s="144"/>
      <c r="Q414" s="145"/>
      <c r="R414" s="145"/>
      <c r="S414" s="154"/>
      <c r="T414" s="155"/>
      <c r="U414" s="144"/>
      <c r="V414" s="144"/>
    </row>
    <row r="415" spans="1:22" ht="14" x14ac:dyDescent="0.15">
      <c r="A415" s="144"/>
      <c r="B415" s="144"/>
      <c r="C415" s="145"/>
      <c r="D415" s="145"/>
      <c r="E415" s="148"/>
      <c r="F415" s="147"/>
      <c r="G415" s="144"/>
      <c r="H415" s="144"/>
      <c r="I415" s="144"/>
      <c r="J415" s="145"/>
      <c r="K415" s="145"/>
      <c r="L415" s="148"/>
      <c r="M415" s="155"/>
      <c r="N415" s="144"/>
      <c r="O415" s="144"/>
      <c r="P415" s="144"/>
      <c r="Q415" s="145"/>
      <c r="R415" s="145"/>
      <c r="S415" s="154"/>
      <c r="T415" s="155"/>
      <c r="U415" s="144"/>
      <c r="V415" s="144"/>
    </row>
    <row r="416" spans="1:22" ht="14" x14ac:dyDescent="0.15">
      <c r="A416" s="144"/>
      <c r="B416" s="144"/>
      <c r="C416" s="145"/>
      <c r="D416" s="145"/>
      <c r="E416" s="148"/>
      <c r="F416" s="147"/>
      <c r="G416" s="144"/>
      <c r="H416" s="144"/>
      <c r="I416" s="144"/>
      <c r="J416" s="145"/>
      <c r="K416" s="145"/>
      <c r="L416" s="148"/>
      <c r="M416" s="155"/>
      <c r="N416" s="144"/>
      <c r="O416" s="144"/>
      <c r="P416" s="144"/>
      <c r="Q416" s="145"/>
      <c r="R416" s="145"/>
      <c r="S416" s="154"/>
      <c r="T416" s="155"/>
      <c r="U416" s="144"/>
      <c r="V416" s="144"/>
    </row>
    <row r="417" spans="1:22" ht="14" x14ac:dyDescent="0.15">
      <c r="A417" s="144"/>
      <c r="B417" s="144"/>
      <c r="C417" s="145"/>
      <c r="D417" s="145"/>
      <c r="E417" s="148"/>
      <c r="F417" s="147"/>
      <c r="G417" s="144"/>
      <c r="H417" s="144"/>
      <c r="I417" s="144"/>
      <c r="J417" s="145"/>
      <c r="K417" s="145"/>
      <c r="L417" s="148"/>
      <c r="M417" s="155"/>
      <c r="N417" s="144"/>
      <c r="O417" s="144"/>
      <c r="P417" s="144"/>
      <c r="Q417" s="145"/>
      <c r="R417" s="145"/>
      <c r="S417" s="154"/>
      <c r="T417" s="155"/>
      <c r="U417" s="144"/>
      <c r="V417" s="144"/>
    </row>
    <row r="418" spans="1:22" ht="14" x14ac:dyDescent="0.15">
      <c r="A418" s="144"/>
      <c r="B418" s="144"/>
      <c r="C418" s="145"/>
      <c r="D418" s="145"/>
      <c r="E418" s="148"/>
      <c r="F418" s="147"/>
      <c r="G418" s="144"/>
      <c r="H418" s="144"/>
      <c r="I418" s="144"/>
      <c r="J418" s="145"/>
      <c r="K418" s="145"/>
      <c r="L418" s="148"/>
      <c r="M418" s="155"/>
      <c r="N418" s="144"/>
      <c r="O418" s="144"/>
      <c r="P418" s="144"/>
      <c r="Q418" s="145"/>
      <c r="R418" s="145"/>
      <c r="S418" s="154"/>
      <c r="T418" s="155"/>
      <c r="U418" s="144"/>
      <c r="V418" s="144"/>
    </row>
    <row r="419" spans="1:22" ht="14" x14ac:dyDescent="0.15">
      <c r="A419" s="144"/>
      <c r="B419" s="144"/>
      <c r="C419" s="145"/>
      <c r="D419" s="145"/>
      <c r="E419" s="148"/>
      <c r="F419" s="147"/>
      <c r="G419" s="144"/>
      <c r="H419" s="144"/>
      <c r="I419" s="144"/>
      <c r="J419" s="145"/>
      <c r="K419" s="145"/>
      <c r="L419" s="148"/>
      <c r="M419" s="155"/>
      <c r="N419" s="144"/>
      <c r="O419" s="144"/>
      <c r="P419" s="144"/>
      <c r="Q419" s="145"/>
      <c r="R419" s="145"/>
      <c r="S419" s="154"/>
      <c r="T419" s="155"/>
      <c r="U419" s="144"/>
      <c r="V419" s="144"/>
    </row>
    <row r="420" spans="1:22" ht="14" x14ac:dyDescent="0.15">
      <c r="A420" s="144"/>
      <c r="B420" s="144"/>
      <c r="C420" s="145"/>
      <c r="D420" s="145"/>
      <c r="E420" s="148"/>
      <c r="F420" s="147"/>
      <c r="G420" s="144"/>
      <c r="H420" s="144"/>
      <c r="I420" s="144"/>
      <c r="J420" s="145"/>
      <c r="K420" s="145"/>
      <c r="L420" s="148"/>
      <c r="M420" s="155"/>
      <c r="N420" s="144"/>
      <c r="O420" s="144"/>
      <c r="P420" s="144"/>
      <c r="Q420" s="145"/>
      <c r="R420" s="145"/>
      <c r="S420" s="154"/>
      <c r="T420" s="155"/>
      <c r="U420" s="144"/>
      <c r="V420" s="144"/>
    </row>
    <row r="421" spans="1:22" ht="14" x14ac:dyDescent="0.15">
      <c r="A421" s="144"/>
      <c r="B421" s="144"/>
      <c r="C421" s="145"/>
      <c r="D421" s="145"/>
      <c r="E421" s="148"/>
      <c r="F421" s="147"/>
      <c r="G421" s="144"/>
      <c r="H421" s="144"/>
      <c r="I421" s="144"/>
      <c r="J421" s="145"/>
      <c r="K421" s="145"/>
      <c r="L421" s="148"/>
      <c r="M421" s="155"/>
      <c r="N421" s="144"/>
      <c r="O421" s="144"/>
      <c r="P421" s="144"/>
      <c r="Q421" s="145"/>
      <c r="R421" s="145"/>
      <c r="S421" s="154"/>
      <c r="T421" s="155"/>
      <c r="U421" s="144"/>
      <c r="V421" s="144"/>
    </row>
    <row r="422" spans="1:22" ht="14" x14ac:dyDescent="0.15">
      <c r="A422" s="144"/>
      <c r="B422" s="144"/>
      <c r="C422" s="145"/>
      <c r="D422" s="145"/>
      <c r="E422" s="148"/>
      <c r="F422" s="147"/>
      <c r="G422" s="144"/>
      <c r="H422" s="144"/>
      <c r="I422" s="144"/>
      <c r="J422" s="145"/>
      <c r="K422" s="145"/>
      <c r="L422" s="148"/>
      <c r="M422" s="155"/>
      <c r="N422" s="144"/>
      <c r="O422" s="144"/>
      <c r="P422" s="144"/>
      <c r="Q422" s="145"/>
      <c r="R422" s="145"/>
      <c r="S422" s="154"/>
      <c r="T422" s="155"/>
      <c r="U422" s="144"/>
      <c r="V422" s="144"/>
    </row>
    <row r="423" spans="1:22" ht="14" x14ac:dyDescent="0.15">
      <c r="A423" s="144"/>
      <c r="B423" s="144"/>
      <c r="C423" s="145"/>
      <c r="D423" s="145"/>
      <c r="E423" s="148"/>
      <c r="F423" s="147"/>
      <c r="G423" s="144"/>
      <c r="H423" s="144"/>
      <c r="I423" s="144"/>
      <c r="J423" s="145"/>
      <c r="K423" s="145"/>
      <c r="L423" s="148"/>
      <c r="M423" s="155"/>
      <c r="N423" s="144"/>
      <c r="O423" s="144"/>
      <c r="P423" s="144"/>
      <c r="Q423" s="145"/>
      <c r="R423" s="145"/>
      <c r="S423" s="154"/>
      <c r="T423" s="155"/>
      <c r="U423" s="144"/>
      <c r="V423" s="144"/>
    </row>
    <row r="424" spans="1:22" ht="14" x14ac:dyDescent="0.15">
      <c r="A424" s="144"/>
      <c r="B424" s="144"/>
      <c r="C424" s="145"/>
      <c r="D424" s="145"/>
      <c r="E424" s="148"/>
      <c r="F424" s="147"/>
      <c r="G424" s="144"/>
      <c r="H424" s="144"/>
      <c r="I424" s="144"/>
      <c r="J424" s="145"/>
      <c r="K424" s="145"/>
      <c r="L424" s="148"/>
      <c r="M424" s="155"/>
      <c r="N424" s="144"/>
      <c r="O424" s="144"/>
      <c r="P424" s="144"/>
      <c r="Q424" s="145"/>
      <c r="R424" s="145"/>
      <c r="S424" s="154"/>
      <c r="T424" s="155"/>
      <c r="U424" s="144"/>
      <c r="V424" s="144"/>
    </row>
    <row r="425" spans="1:22" ht="14" x14ac:dyDescent="0.15">
      <c r="A425" s="144"/>
      <c r="B425" s="144"/>
      <c r="C425" s="145"/>
      <c r="D425" s="145"/>
      <c r="E425" s="148"/>
      <c r="F425" s="147"/>
      <c r="G425" s="144"/>
      <c r="H425" s="144"/>
      <c r="I425" s="144"/>
      <c r="J425" s="145"/>
      <c r="K425" s="145"/>
      <c r="L425" s="148"/>
      <c r="M425" s="155"/>
      <c r="N425" s="144"/>
      <c r="O425" s="144"/>
      <c r="P425" s="144"/>
      <c r="Q425" s="145"/>
      <c r="R425" s="145"/>
      <c r="S425" s="154"/>
      <c r="T425" s="155"/>
      <c r="U425" s="144"/>
      <c r="V425" s="144"/>
    </row>
    <row r="426" spans="1:22" ht="14" x14ac:dyDescent="0.15">
      <c r="A426" s="144"/>
      <c r="B426" s="144"/>
      <c r="C426" s="145"/>
      <c r="D426" s="145"/>
      <c r="E426" s="148"/>
      <c r="F426" s="147"/>
      <c r="G426" s="144"/>
      <c r="H426" s="144"/>
      <c r="I426" s="144"/>
      <c r="J426" s="145"/>
      <c r="K426" s="145"/>
      <c r="L426" s="148"/>
      <c r="M426" s="155"/>
      <c r="N426" s="144"/>
      <c r="O426" s="144"/>
      <c r="P426" s="144"/>
      <c r="Q426" s="145"/>
      <c r="R426" s="145"/>
      <c r="S426" s="154"/>
      <c r="T426" s="155"/>
      <c r="U426" s="144"/>
      <c r="V426" s="144"/>
    </row>
    <row r="427" spans="1:22" ht="14" x14ac:dyDescent="0.15">
      <c r="A427" s="144"/>
      <c r="B427" s="144"/>
      <c r="C427" s="145"/>
      <c r="D427" s="145"/>
      <c r="E427" s="148"/>
      <c r="F427" s="147"/>
      <c r="G427" s="144"/>
      <c r="H427" s="144"/>
      <c r="I427" s="144"/>
      <c r="J427" s="145"/>
      <c r="K427" s="145"/>
      <c r="L427" s="148"/>
      <c r="M427" s="155"/>
      <c r="N427" s="144"/>
      <c r="O427" s="144"/>
      <c r="P427" s="144"/>
      <c r="Q427" s="145"/>
      <c r="R427" s="145"/>
      <c r="S427" s="154"/>
      <c r="T427" s="155"/>
      <c r="U427" s="144"/>
      <c r="V427" s="144"/>
    </row>
    <row r="428" spans="1:22" ht="14" x14ac:dyDescent="0.15">
      <c r="A428" s="144"/>
      <c r="B428" s="144"/>
      <c r="C428" s="145"/>
      <c r="D428" s="145"/>
      <c r="E428" s="148"/>
      <c r="F428" s="147"/>
      <c r="G428" s="144"/>
      <c r="H428" s="144"/>
      <c r="I428" s="144"/>
      <c r="J428" s="145"/>
      <c r="K428" s="145"/>
      <c r="L428" s="148"/>
      <c r="M428" s="155"/>
      <c r="N428" s="144"/>
      <c r="O428" s="144"/>
      <c r="P428" s="144"/>
      <c r="Q428" s="145"/>
      <c r="R428" s="145"/>
      <c r="S428" s="154"/>
      <c r="T428" s="155"/>
      <c r="U428" s="144"/>
      <c r="V428" s="144"/>
    </row>
    <row r="429" spans="1:22" ht="14" x14ac:dyDescent="0.15">
      <c r="A429" s="144"/>
      <c r="B429" s="144"/>
      <c r="C429" s="145"/>
      <c r="D429" s="145"/>
      <c r="E429" s="148"/>
      <c r="F429" s="147"/>
      <c r="G429" s="144"/>
      <c r="H429" s="144"/>
      <c r="I429" s="144"/>
      <c r="J429" s="145"/>
      <c r="K429" s="145"/>
      <c r="L429" s="148"/>
      <c r="M429" s="155"/>
      <c r="N429" s="144"/>
      <c r="O429" s="144"/>
      <c r="P429" s="144"/>
      <c r="Q429" s="145"/>
      <c r="R429" s="145"/>
      <c r="S429" s="154"/>
      <c r="T429" s="155"/>
      <c r="U429" s="144"/>
      <c r="V429" s="144"/>
    </row>
    <row r="430" spans="1:22" ht="14" x14ac:dyDescent="0.15">
      <c r="A430" s="144"/>
      <c r="B430" s="144"/>
      <c r="C430" s="145"/>
      <c r="D430" s="145"/>
      <c r="E430" s="148"/>
      <c r="F430" s="147"/>
      <c r="G430" s="144"/>
      <c r="H430" s="144"/>
      <c r="I430" s="144"/>
      <c r="J430" s="145"/>
      <c r="K430" s="145"/>
      <c r="L430" s="148"/>
      <c r="M430" s="155"/>
      <c r="N430" s="144"/>
      <c r="O430" s="144"/>
      <c r="P430" s="144"/>
      <c r="Q430" s="145"/>
      <c r="R430" s="145"/>
      <c r="S430" s="154"/>
      <c r="T430" s="155"/>
      <c r="U430" s="144"/>
      <c r="V430" s="144"/>
    </row>
    <row r="431" spans="1:22" ht="14" x14ac:dyDescent="0.15">
      <c r="A431" s="144"/>
      <c r="B431" s="144"/>
      <c r="C431" s="145"/>
      <c r="D431" s="145"/>
      <c r="E431" s="148"/>
      <c r="F431" s="147"/>
      <c r="G431" s="144"/>
      <c r="H431" s="144"/>
      <c r="I431" s="144"/>
      <c r="J431" s="145"/>
      <c r="K431" s="145"/>
      <c r="L431" s="148"/>
      <c r="M431" s="155"/>
      <c r="N431" s="144"/>
      <c r="O431" s="144"/>
      <c r="P431" s="144"/>
      <c r="Q431" s="145"/>
      <c r="R431" s="145"/>
      <c r="S431" s="154"/>
      <c r="T431" s="155"/>
      <c r="U431" s="144"/>
      <c r="V431" s="144"/>
    </row>
    <row r="432" spans="1:22" ht="14" x14ac:dyDescent="0.15">
      <c r="A432" s="144"/>
      <c r="B432" s="144"/>
      <c r="C432" s="145"/>
      <c r="D432" s="145"/>
      <c r="E432" s="148"/>
      <c r="F432" s="147"/>
      <c r="G432" s="144"/>
      <c r="H432" s="144"/>
      <c r="I432" s="144"/>
      <c r="J432" s="145"/>
      <c r="K432" s="145"/>
      <c r="L432" s="148"/>
      <c r="M432" s="155"/>
      <c r="N432" s="144"/>
      <c r="O432" s="144"/>
      <c r="P432" s="144"/>
      <c r="Q432" s="145"/>
      <c r="R432" s="145"/>
      <c r="S432" s="154"/>
      <c r="T432" s="155"/>
      <c r="U432" s="144"/>
      <c r="V432" s="144"/>
    </row>
    <row r="433" spans="1:22" ht="14" x14ac:dyDescent="0.15">
      <c r="A433" s="144"/>
      <c r="B433" s="144"/>
      <c r="C433" s="145"/>
      <c r="D433" s="145"/>
      <c r="E433" s="148"/>
      <c r="F433" s="147"/>
      <c r="G433" s="144"/>
      <c r="H433" s="144"/>
      <c r="I433" s="144"/>
      <c r="J433" s="145"/>
      <c r="K433" s="145"/>
      <c r="L433" s="148"/>
      <c r="M433" s="155"/>
      <c r="N433" s="144"/>
      <c r="O433" s="144"/>
      <c r="P433" s="144"/>
      <c r="Q433" s="145"/>
      <c r="R433" s="145"/>
      <c r="S433" s="154"/>
      <c r="T433" s="155"/>
      <c r="U433" s="144"/>
      <c r="V433" s="144"/>
    </row>
    <row r="434" spans="1:22" ht="14" x14ac:dyDescent="0.15">
      <c r="A434" s="144"/>
      <c r="B434" s="144"/>
      <c r="C434" s="145"/>
      <c r="D434" s="145"/>
      <c r="E434" s="148"/>
      <c r="F434" s="147"/>
      <c r="G434" s="144"/>
      <c r="H434" s="144"/>
      <c r="I434" s="144"/>
      <c r="J434" s="145"/>
      <c r="K434" s="145"/>
      <c r="L434" s="148"/>
      <c r="M434" s="155"/>
      <c r="N434" s="144"/>
      <c r="O434" s="144"/>
      <c r="P434" s="144"/>
      <c r="Q434" s="145"/>
      <c r="R434" s="145"/>
      <c r="S434" s="154"/>
      <c r="T434" s="155"/>
      <c r="U434" s="144"/>
      <c r="V434" s="144"/>
    </row>
    <row r="435" spans="1:22" ht="14" x14ac:dyDescent="0.15">
      <c r="A435" s="144"/>
      <c r="B435" s="144"/>
      <c r="C435" s="145"/>
      <c r="D435" s="145"/>
      <c r="E435" s="148"/>
      <c r="F435" s="147"/>
      <c r="G435" s="144"/>
      <c r="H435" s="144"/>
      <c r="I435" s="144"/>
      <c r="J435" s="145"/>
      <c r="K435" s="145"/>
      <c r="L435" s="148"/>
      <c r="M435" s="155"/>
      <c r="N435" s="144"/>
      <c r="O435" s="144"/>
      <c r="P435" s="144"/>
      <c r="Q435" s="145"/>
      <c r="R435" s="145"/>
      <c r="S435" s="154"/>
      <c r="T435" s="155"/>
      <c r="U435" s="144"/>
      <c r="V435" s="144"/>
    </row>
    <row r="436" spans="1:22" ht="14" x14ac:dyDescent="0.15">
      <c r="A436" s="144"/>
      <c r="B436" s="144"/>
      <c r="C436" s="145"/>
      <c r="D436" s="145"/>
      <c r="E436" s="148"/>
      <c r="F436" s="147"/>
      <c r="G436" s="144"/>
      <c r="H436" s="144"/>
      <c r="I436" s="144"/>
      <c r="J436" s="145"/>
      <c r="K436" s="145"/>
      <c r="L436" s="148"/>
      <c r="M436" s="155"/>
      <c r="N436" s="144"/>
      <c r="O436" s="144"/>
      <c r="P436" s="144"/>
      <c r="Q436" s="145"/>
      <c r="R436" s="145"/>
      <c r="S436" s="154"/>
      <c r="T436" s="155"/>
      <c r="U436" s="144"/>
      <c r="V436" s="144"/>
    </row>
    <row r="437" spans="1:22" ht="14" x14ac:dyDescent="0.15">
      <c r="A437" s="144"/>
      <c r="B437" s="144"/>
      <c r="C437" s="145"/>
      <c r="D437" s="145"/>
      <c r="E437" s="148"/>
      <c r="F437" s="147"/>
      <c r="G437" s="144"/>
      <c r="H437" s="144"/>
      <c r="I437" s="144"/>
      <c r="J437" s="145"/>
      <c r="K437" s="145"/>
      <c r="L437" s="148"/>
      <c r="M437" s="155"/>
      <c r="N437" s="144"/>
      <c r="O437" s="144"/>
      <c r="P437" s="144"/>
      <c r="Q437" s="145"/>
      <c r="R437" s="145"/>
      <c r="S437" s="154"/>
      <c r="T437" s="155"/>
      <c r="U437" s="144"/>
      <c r="V437" s="144"/>
    </row>
    <row r="438" spans="1:22" ht="14" x14ac:dyDescent="0.15">
      <c r="A438" s="144"/>
      <c r="B438" s="144"/>
      <c r="C438" s="145"/>
      <c r="D438" s="145"/>
      <c r="E438" s="148"/>
      <c r="F438" s="147"/>
      <c r="G438" s="144"/>
      <c r="H438" s="144"/>
      <c r="I438" s="144"/>
      <c r="J438" s="145"/>
      <c r="K438" s="145"/>
      <c r="L438" s="148"/>
      <c r="M438" s="155"/>
      <c r="N438" s="144"/>
      <c r="O438" s="144"/>
      <c r="P438" s="144"/>
      <c r="Q438" s="145"/>
      <c r="R438" s="145"/>
      <c r="S438" s="154"/>
      <c r="T438" s="155"/>
      <c r="U438" s="144"/>
      <c r="V438" s="144"/>
    </row>
    <row r="439" spans="1:22" ht="14" x14ac:dyDescent="0.15">
      <c r="A439" s="144"/>
      <c r="B439" s="144"/>
      <c r="C439" s="145"/>
      <c r="D439" s="145"/>
      <c r="E439" s="148"/>
      <c r="F439" s="147"/>
      <c r="G439" s="144"/>
      <c r="H439" s="144"/>
      <c r="I439" s="144"/>
      <c r="J439" s="145"/>
      <c r="K439" s="145"/>
      <c r="L439" s="148"/>
      <c r="M439" s="155"/>
      <c r="N439" s="144"/>
      <c r="O439" s="144"/>
      <c r="P439" s="144"/>
      <c r="Q439" s="145"/>
      <c r="R439" s="145"/>
      <c r="S439" s="154"/>
      <c r="T439" s="155"/>
      <c r="U439" s="144"/>
      <c r="V439" s="144"/>
    </row>
    <row r="440" spans="1:22" ht="14" x14ac:dyDescent="0.15">
      <c r="A440" s="144"/>
      <c r="B440" s="144"/>
      <c r="C440" s="145"/>
      <c r="D440" s="145"/>
      <c r="E440" s="148"/>
      <c r="F440" s="147"/>
      <c r="G440" s="144"/>
      <c r="H440" s="144"/>
      <c r="I440" s="144"/>
      <c r="J440" s="145"/>
      <c r="K440" s="145"/>
      <c r="L440" s="148"/>
      <c r="M440" s="155"/>
      <c r="N440" s="144"/>
      <c r="O440" s="144"/>
      <c r="P440" s="144"/>
      <c r="Q440" s="145"/>
      <c r="R440" s="145"/>
      <c r="S440" s="154"/>
      <c r="T440" s="155"/>
      <c r="U440" s="144"/>
      <c r="V440" s="144"/>
    </row>
    <row r="441" spans="1:22" ht="14" x14ac:dyDescent="0.15">
      <c r="A441" s="144"/>
      <c r="B441" s="144"/>
      <c r="C441" s="145"/>
      <c r="D441" s="145"/>
      <c r="E441" s="148"/>
      <c r="F441" s="147"/>
      <c r="G441" s="144"/>
      <c r="H441" s="144"/>
      <c r="I441" s="144"/>
      <c r="J441" s="145"/>
      <c r="K441" s="145"/>
      <c r="L441" s="148"/>
      <c r="M441" s="155"/>
      <c r="N441" s="144"/>
      <c r="O441" s="144"/>
      <c r="P441" s="144"/>
      <c r="Q441" s="145"/>
      <c r="R441" s="145"/>
      <c r="S441" s="154"/>
      <c r="T441" s="155"/>
      <c r="U441" s="144"/>
      <c r="V441" s="144"/>
    </row>
    <row r="442" spans="1:22" ht="14" x14ac:dyDescent="0.15">
      <c r="A442" s="144"/>
      <c r="B442" s="144"/>
      <c r="C442" s="145"/>
      <c r="D442" s="145"/>
      <c r="E442" s="148"/>
      <c r="F442" s="147"/>
      <c r="G442" s="144"/>
      <c r="H442" s="144"/>
      <c r="I442" s="144"/>
      <c r="J442" s="145"/>
      <c r="K442" s="145"/>
      <c r="L442" s="148"/>
      <c r="M442" s="155"/>
      <c r="N442" s="144"/>
      <c r="O442" s="144"/>
      <c r="P442" s="144"/>
      <c r="Q442" s="145"/>
      <c r="R442" s="145"/>
      <c r="S442" s="154"/>
      <c r="T442" s="155"/>
      <c r="U442" s="144"/>
      <c r="V442" s="144"/>
    </row>
    <row r="443" spans="1:22" ht="14" x14ac:dyDescent="0.15">
      <c r="A443" s="144"/>
      <c r="B443" s="144"/>
      <c r="C443" s="145"/>
      <c r="D443" s="145"/>
      <c r="E443" s="148"/>
      <c r="F443" s="147"/>
      <c r="G443" s="144"/>
      <c r="H443" s="144"/>
      <c r="I443" s="144"/>
      <c r="J443" s="145"/>
      <c r="K443" s="145"/>
      <c r="L443" s="148"/>
      <c r="M443" s="155"/>
      <c r="N443" s="144"/>
      <c r="O443" s="144"/>
      <c r="P443" s="144"/>
      <c r="Q443" s="145"/>
      <c r="R443" s="145"/>
      <c r="S443" s="154"/>
      <c r="T443" s="155"/>
      <c r="U443" s="144"/>
      <c r="V443" s="144"/>
    </row>
    <row r="444" spans="1:22" ht="14" x14ac:dyDescent="0.15">
      <c r="A444" s="144"/>
      <c r="B444" s="144"/>
      <c r="C444" s="145"/>
      <c r="D444" s="145"/>
      <c r="E444" s="148"/>
      <c r="F444" s="147"/>
      <c r="G444" s="144"/>
      <c r="H444" s="144"/>
      <c r="I444" s="144"/>
      <c r="J444" s="145"/>
      <c r="K444" s="145"/>
      <c r="L444" s="148"/>
      <c r="M444" s="155"/>
      <c r="N444" s="144"/>
      <c r="O444" s="144"/>
      <c r="P444" s="144"/>
      <c r="Q444" s="145"/>
      <c r="R444" s="145"/>
      <c r="S444" s="154"/>
      <c r="T444" s="155"/>
      <c r="U444" s="144"/>
      <c r="V444" s="144"/>
    </row>
    <row r="445" spans="1:22" ht="14" x14ac:dyDescent="0.15">
      <c r="A445" s="144"/>
      <c r="B445" s="144"/>
      <c r="C445" s="145"/>
      <c r="D445" s="145"/>
      <c r="E445" s="148"/>
      <c r="F445" s="147"/>
      <c r="G445" s="144"/>
      <c r="H445" s="144"/>
      <c r="I445" s="144"/>
      <c r="J445" s="145"/>
      <c r="K445" s="145"/>
      <c r="L445" s="148"/>
      <c r="M445" s="155"/>
      <c r="N445" s="144"/>
      <c r="O445" s="144"/>
      <c r="P445" s="144"/>
      <c r="Q445" s="145"/>
      <c r="R445" s="145"/>
      <c r="S445" s="154"/>
      <c r="T445" s="155"/>
      <c r="U445" s="144"/>
      <c r="V445" s="144"/>
    </row>
    <row r="446" spans="1:22" ht="14" x14ac:dyDescent="0.15">
      <c r="A446" s="144"/>
      <c r="B446" s="144"/>
      <c r="C446" s="145"/>
      <c r="D446" s="145"/>
      <c r="E446" s="148"/>
      <c r="F446" s="147"/>
      <c r="G446" s="144"/>
      <c r="H446" s="144"/>
      <c r="I446" s="144"/>
      <c r="J446" s="145"/>
      <c r="K446" s="145"/>
      <c r="L446" s="148"/>
      <c r="M446" s="155"/>
      <c r="N446" s="144"/>
      <c r="O446" s="144"/>
      <c r="P446" s="144"/>
      <c r="Q446" s="145"/>
      <c r="R446" s="145"/>
      <c r="S446" s="154"/>
      <c r="T446" s="155"/>
      <c r="U446" s="144"/>
      <c r="V446" s="144"/>
    </row>
    <row r="447" spans="1:22" ht="14" x14ac:dyDescent="0.15">
      <c r="A447" s="144"/>
      <c r="B447" s="144"/>
      <c r="C447" s="145"/>
      <c r="D447" s="145"/>
      <c r="E447" s="148"/>
      <c r="F447" s="147"/>
      <c r="G447" s="144"/>
      <c r="H447" s="144"/>
      <c r="I447" s="144"/>
      <c r="J447" s="145"/>
      <c r="K447" s="145"/>
      <c r="L447" s="148"/>
      <c r="M447" s="155"/>
      <c r="N447" s="144"/>
      <c r="O447" s="144"/>
      <c r="P447" s="144"/>
      <c r="Q447" s="145"/>
      <c r="R447" s="145"/>
      <c r="S447" s="154"/>
      <c r="T447" s="155"/>
      <c r="U447" s="144"/>
      <c r="V447" s="144"/>
    </row>
    <row r="448" spans="1:22" ht="14" x14ac:dyDescent="0.15">
      <c r="A448" s="144"/>
      <c r="B448" s="144"/>
      <c r="C448" s="145"/>
      <c r="D448" s="145"/>
      <c r="E448" s="148"/>
      <c r="F448" s="147"/>
      <c r="G448" s="144"/>
      <c r="H448" s="144"/>
      <c r="I448" s="144"/>
      <c r="J448" s="145"/>
      <c r="K448" s="145"/>
      <c r="L448" s="148"/>
      <c r="M448" s="155"/>
      <c r="N448" s="144"/>
      <c r="O448" s="144"/>
      <c r="P448" s="144"/>
      <c r="Q448" s="145"/>
      <c r="R448" s="145"/>
      <c r="S448" s="154"/>
      <c r="T448" s="155"/>
      <c r="U448" s="144"/>
      <c r="V448" s="144"/>
    </row>
    <row r="449" spans="1:22" ht="14" x14ac:dyDescent="0.15">
      <c r="A449" s="144"/>
      <c r="B449" s="144"/>
      <c r="C449" s="145"/>
      <c r="D449" s="145"/>
      <c r="E449" s="148"/>
      <c r="F449" s="147"/>
      <c r="G449" s="144"/>
      <c r="H449" s="144"/>
      <c r="I449" s="144"/>
      <c r="J449" s="145"/>
      <c r="K449" s="145"/>
      <c r="L449" s="148"/>
      <c r="M449" s="155"/>
      <c r="N449" s="144"/>
      <c r="O449" s="144"/>
      <c r="P449" s="144"/>
      <c r="Q449" s="145"/>
      <c r="R449" s="145"/>
      <c r="S449" s="154"/>
      <c r="T449" s="155"/>
      <c r="U449" s="144"/>
      <c r="V449" s="144"/>
    </row>
    <row r="450" spans="1:22" ht="14" x14ac:dyDescent="0.15">
      <c r="A450" s="144"/>
      <c r="B450" s="144"/>
      <c r="C450" s="145"/>
      <c r="D450" s="145"/>
      <c r="E450" s="148"/>
      <c r="F450" s="147"/>
      <c r="G450" s="144"/>
      <c r="H450" s="144"/>
      <c r="I450" s="144"/>
      <c r="J450" s="145"/>
      <c r="K450" s="145"/>
      <c r="L450" s="148"/>
      <c r="M450" s="155"/>
      <c r="N450" s="144"/>
      <c r="O450" s="144"/>
      <c r="P450" s="144"/>
      <c r="Q450" s="145"/>
      <c r="R450" s="145"/>
      <c r="S450" s="154"/>
      <c r="T450" s="155"/>
      <c r="U450" s="144"/>
      <c r="V450" s="144"/>
    </row>
    <row r="451" spans="1:22" ht="14" x14ac:dyDescent="0.15">
      <c r="A451" s="144"/>
      <c r="B451" s="144"/>
      <c r="C451" s="145"/>
      <c r="D451" s="145"/>
      <c r="E451" s="148"/>
      <c r="F451" s="147"/>
      <c r="G451" s="144"/>
      <c r="H451" s="144"/>
      <c r="I451" s="144"/>
      <c r="J451" s="145"/>
      <c r="K451" s="145"/>
      <c r="L451" s="148"/>
      <c r="M451" s="155"/>
      <c r="N451" s="144"/>
      <c r="O451" s="144"/>
      <c r="P451" s="144"/>
      <c r="Q451" s="145"/>
      <c r="R451" s="145"/>
      <c r="S451" s="154"/>
      <c r="T451" s="155"/>
      <c r="U451" s="144"/>
      <c r="V451" s="144"/>
    </row>
    <row r="452" spans="1:22" ht="14" x14ac:dyDescent="0.15">
      <c r="A452" s="144"/>
      <c r="B452" s="144"/>
      <c r="C452" s="145"/>
      <c r="D452" s="145"/>
      <c r="E452" s="148"/>
      <c r="F452" s="147"/>
      <c r="G452" s="144"/>
      <c r="H452" s="144"/>
      <c r="I452" s="144"/>
      <c r="J452" s="145"/>
      <c r="K452" s="145"/>
      <c r="L452" s="148"/>
      <c r="M452" s="155"/>
      <c r="N452" s="144"/>
      <c r="O452" s="144"/>
      <c r="P452" s="144"/>
      <c r="Q452" s="145"/>
      <c r="R452" s="145"/>
      <c r="S452" s="154"/>
      <c r="T452" s="155"/>
      <c r="U452" s="144"/>
      <c r="V452" s="144"/>
    </row>
    <row r="453" spans="1:22" ht="14" x14ac:dyDescent="0.15">
      <c r="A453" s="144"/>
      <c r="B453" s="144"/>
      <c r="C453" s="145"/>
      <c r="D453" s="145"/>
      <c r="E453" s="148"/>
      <c r="F453" s="147"/>
      <c r="G453" s="144"/>
      <c r="H453" s="144"/>
      <c r="I453" s="144"/>
      <c r="J453" s="145"/>
      <c r="K453" s="145"/>
      <c r="L453" s="148"/>
      <c r="M453" s="155"/>
      <c r="N453" s="144"/>
      <c r="O453" s="144"/>
      <c r="P453" s="144"/>
      <c r="Q453" s="145"/>
      <c r="R453" s="145"/>
      <c r="S453" s="154"/>
      <c r="T453" s="155"/>
      <c r="U453" s="144"/>
      <c r="V453" s="144"/>
    </row>
    <row r="454" spans="1:22" ht="14" x14ac:dyDescent="0.15">
      <c r="A454" s="144"/>
      <c r="B454" s="144"/>
      <c r="C454" s="145"/>
      <c r="D454" s="145"/>
      <c r="E454" s="148"/>
      <c r="F454" s="147"/>
      <c r="G454" s="144"/>
      <c r="H454" s="144"/>
      <c r="I454" s="144"/>
      <c r="J454" s="145"/>
      <c r="K454" s="145"/>
      <c r="L454" s="148"/>
      <c r="M454" s="155"/>
      <c r="N454" s="144"/>
      <c r="O454" s="144"/>
      <c r="P454" s="144"/>
      <c r="Q454" s="145"/>
      <c r="R454" s="145"/>
      <c r="S454" s="154"/>
      <c r="T454" s="155"/>
      <c r="U454" s="144"/>
      <c r="V454" s="144"/>
    </row>
    <row r="455" spans="1:22" ht="14" x14ac:dyDescent="0.15">
      <c r="A455" s="144"/>
      <c r="B455" s="144"/>
      <c r="C455" s="145"/>
      <c r="D455" s="145"/>
      <c r="E455" s="148"/>
      <c r="F455" s="147"/>
      <c r="G455" s="144"/>
      <c r="H455" s="144"/>
      <c r="I455" s="144"/>
      <c r="J455" s="145"/>
      <c r="K455" s="145"/>
      <c r="L455" s="148"/>
      <c r="M455" s="155"/>
      <c r="N455" s="144"/>
      <c r="O455" s="144"/>
      <c r="P455" s="144"/>
      <c r="Q455" s="145"/>
      <c r="R455" s="145"/>
      <c r="S455" s="154"/>
      <c r="T455" s="155"/>
      <c r="U455" s="144"/>
      <c r="V455" s="144"/>
    </row>
    <row r="456" spans="1:22" ht="14" x14ac:dyDescent="0.15">
      <c r="A456" s="144"/>
      <c r="B456" s="144"/>
      <c r="C456" s="145"/>
      <c r="D456" s="145"/>
      <c r="E456" s="148"/>
      <c r="F456" s="147"/>
      <c r="G456" s="144"/>
      <c r="H456" s="144"/>
      <c r="I456" s="144"/>
      <c r="J456" s="145"/>
      <c r="K456" s="145"/>
      <c r="L456" s="148"/>
      <c r="M456" s="155"/>
      <c r="N456" s="144"/>
      <c r="O456" s="144"/>
      <c r="P456" s="144"/>
      <c r="Q456" s="145"/>
      <c r="R456" s="145"/>
      <c r="S456" s="154"/>
      <c r="T456" s="155"/>
      <c r="U456" s="144"/>
      <c r="V456" s="144"/>
    </row>
    <row r="457" spans="1:22" ht="14" x14ac:dyDescent="0.15">
      <c r="A457" s="144"/>
      <c r="B457" s="144"/>
      <c r="C457" s="145"/>
      <c r="D457" s="145"/>
      <c r="E457" s="148"/>
      <c r="F457" s="147"/>
      <c r="G457" s="144"/>
      <c r="H457" s="144"/>
      <c r="I457" s="144"/>
      <c r="J457" s="145"/>
      <c r="K457" s="145"/>
      <c r="L457" s="148"/>
      <c r="M457" s="155"/>
      <c r="N457" s="144"/>
      <c r="O457" s="144"/>
      <c r="P457" s="144"/>
      <c r="Q457" s="145"/>
      <c r="R457" s="145"/>
      <c r="S457" s="154"/>
      <c r="T457" s="155"/>
      <c r="U457" s="144"/>
      <c r="V457" s="144"/>
    </row>
    <row r="458" spans="1:22" ht="14" x14ac:dyDescent="0.15">
      <c r="A458" s="144"/>
      <c r="B458" s="144"/>
      <c r="C458" s="145"/>
      <c r="D458" s="145"/>
      <c r="E458" s="148"/>
      <c r="F458" s="147"/>
      <c r="G458" s="144"/>
      <c r="H458" s="144"/>
      <c r="I458" s="144"/>
      <c r="J458" s="145"/>
      <c r="K458" s="145"/>
      <c r="L458" s="148"/>
      <c r="M458" s="155"/>
      <c r="N458" s="144"/>
      <c r="O458" s="144"/>
      <c r="P458" s="144"/>
      <c r="Q458" s="145"/>
      <c r="R458" s="145"/>
      <c r="S458" s="154"/>
      <c r="T458" s="155"/>
      <c r="U458" s="144"/>
      <c r="V458" s="144"/>
    </row>
    <row r="459" spans="1:22" ht="14" x14ac:dyDescent="0.15">
      <c r="A459" s="144"/>
      <c r="B459" s="144"/>
      <c r="C459" s="145"/>
      <c r="D459" s="145"/>
      <c r="E459" s="148"/>
      <c r="F459" s="147"/>
      <c r="G459" s="144"/>
      <c r="H459" s="144"/>
      <c r="I459" s="144"/>
      <c r="J459" s="145"/>
      <c r="K459" s="145"/>
      <c r="L459" s="148"/>
      <c r="M459" s="155"/>
      <c r="N459" s="144"/>
      <c r="O459" s="144"/>
      <c r="P459" s="144"/>
      <c r="Q459" s="145"/>
      <c r="R459" s="145"/>
      <c r="S459" s="154"/>
      <c r="T459" s="155"/>
      <c r="U459" s="144"/>
      <c r="V459" s="144"/>
    </row>
    <row r="460" spans="1:22" ht="14" x14ac:dyDescent="0.15">
      <c r="A460" s="144"/>
      <c r="B460" s="144"/>
      <c r="C460" s="145"/>
      <c r="D460" s="145"/>
      <c r="E460" s="148"/>
      <c r="F460" s="147"/>
      <c r="G460" s="144"/>
      <c r="H460" s="144"/>
      <c r="I460" s="144"/>
      <c r="J460" s="145"/>
      <c r="K460" s="145"/>
      <c r="L460" s="148"/>
      <c r="M460" s="155"/>
      <c r="N460" s="144"/>
      <c r="O460" s="144"/>
      <c r="P460" s="144"/>
      <c r="Q460" s="145"/>
      <c r="R460" s="145"/>
      <c r="S460" s="154"/>
      <c r="T460" s="155"/>
      <c r="U460" s="144"/>
      <c r="V460" s="144"/>
    </row>
    <row r="461" spans="1:22" ht="14" x14ac:dyDescent="0.15">
      <c r="A461" s="144"/>
      <c r="B461" s="144"/>
      <c r="C461" s="145"/>
      <c r="D461" s="145"/>
      <c r="E461" s="148"/>
      <c r="F461" s="147"/>
      <c r="G461" s="144"/>
      <c r="H461" s="144"/>
      <c r="I461" s="144"/>
      <c r="J461" s="145"/>
      <c r="K461" s="145"/>
      <c r="L461" s="148"/>
      <c r="M461" s="155"/>
      <c r="N461" s="144"/>
      <c r="O461" s="144"/>
      <c r="P461" s="144"/>
      <c r="Q461" s="145"/>
      <c r="R461" s="145"/>
      <c r="S461" s="154"/>
      <c r="T461" s="155"/>
      <c r="U461" s="144"/>
      <c r="V461" s="144"/>
    </row>
    <row r="462" spans="1:22" ht="14" x14ac:dyDescent="0.15">
      <c r="A462" s="144"/>
      <c r="B462" s="144"/>
      <c r="C462" s="145"/>
      <c r="D462" s="145"/>
      <c r="E462" s="148"/>
      <c r="F462" s="147"/>
      <c r="G462" s="144"/>
      <c r="H462" s="144"/>
      <c r="I462" s="144"/>
      <c r="J462" s="145"/>
      <c r="K462" s="145"/>
      <c r="L462" s="148"/>
      <c r="M462" s="155"/>
      <c r="N462" s="144"/>
      <c r="O462" s="144"/>
      <c r="P462" s="144"/>
      <c r="Q462" s="145"/>
      <c r="R462" s="145"/>
      <c r="S462" s="154"/>
      <c r="T462" s="155"/>
      <c r="U462" s="144"/>
      <c r="V462" s="144"/>
    </row>
    <row r="463" spans="1:22" ht="14" x14ac:dyDescent="0.15">
      <c r="A463" s="144"/>
      <c r="B463" s="144"/>
      <c r="C463" s="145"/>
      <c r="D463" s="145"/>
      <c r="E463" s="148"/>
      <c r="F463" s="147"/>
      <c r="G463" s="144"/>
      <c r="H463" s="144"/>
      <c r="I463" s="144"/>
      <c r="J463" s="145"/>
      <c r="K463" s="145"/>
      <c r="L463" s="148"/>
      <c r="M463" s="155"/>
      <c r="N463" s="144"/>
      <c r="O463" s="144"/>
      <c r="P463" s="144"/>
      <c r="Q463" s="145"/>
      <c r="R463" s="145"/>
      <c r="S463" s="154"/>
      <c r="T463" s="155"/>
      <c r="U463" s="144"/>
      <c r="V463" s="144"/>
    </row>
    <row r="464" spans="1:22" ht="14" x14ac:dyDescent="0.15">
      <c r="A464" s="144"/>
      <c r="B464" s="144"/>
      <c r="C464" s="145"/>
      <c r="D464" s="145"/>
      <c r="E464" s="148"/>
      <c r="F464" s="147"/>
      <c r="G464" s="144"/>
      <c r="H464" s="144"/>
      <c r="I464" s="144"/>
      <c r="J464" s="145"/>
      <c r="K464" s="145"/>
      <c r="L464" s="148"/>
      <c r="M464" s="155"/>
      <c r="N464" s="144"/>
      <c r="O464" s="144"/>
      <c r="P464" s="144"/>
      <c r="Q464" s="145"/>
      <c r="R464" s="145"/>
      <c r="S464" s="154"/>
      <c r="T464" s="155"/>
      <c r="U464" s="144"/>
      <c r="V464" s="144"/>
    </row>
    <row r="465" spans="1:22" ht="14" x14ac:dyDescent="0.15">
      <c r="A465" s="144"/>
      <c r="B465" s="144"/>
      <c r="C465" s="145"/>
      <c r="D465" s="145"/>
      <c r="E465" s="148"/>
      <c r="F465" s="147"/>
      <c r="G465" s="144"/>
      <c r="H465" s="144"/>
      <c r="I465" s="144"/>
      <c r="J465" s="145"/>
      <c r="K465" s="145"/>
      <c r="L465" s="148"/>
      <c r="M465" s="155"/>
      <c r="N465" s="144"/>
      <c r="O465" s="144"/>
      <c r="P465" s="144"/>
      <c r="Q465" s="145"/>
      <c r="R465" s="145"/>
      <c r="S465" s="154"/>
      <c r="T465" s="155"/>
      <c r="U465" s="144"/>
      <c r="V465" s="144"/>
    </row>
    <row r="466" spans="1:22" ht="14" x14ac:dyDescent="0.15">
      <c r="A466" s="144"/>
      <c r="B466" s="144"/>
      <c r="C466" s="145"/>
      <c r="D466" s="145"/>
      <c r="E466" s="148"/>
      <c r="F466" s="147"/>
      <c r="G466" s="144"/>
      <c r="H466" s="144"/>
      <c r="I466" s="144"/>
      <c r="J466" s="145"/>
      <c r="K466" s="145"/>
      <c r="L466" s="148"/>
      <c r="M466" s="155"/>
      <c r="N466" s="144"/>
      <c r="O466" s="144"/>
      <c r="P466" s="144"/>
      <c r="Q466" s="145"/>
      <c r="R466" s="145"/>
      <c r="S466" s="154"/>
      <c r="T466" s="155"/>
      <c r="U466" s="144"/>
      <c r="V466" s="144"/>
    </row>
    <row r="467" spans="1:22" ht="14" x14ac:dyDescent="0.15">
      <c r="A467" s="144"/>
      <c r="B467" s="144"/>
      <c r="C467" s="145"/>
      <c r="D467" s="145"/>
      <c r="E467" s="148"/>
      <c r="F467" s="147"/>
      <c r="G467" s="144"/>
      <c r="H467" s="144"/>
      <c r="I467" s="144"/>
      <c r="J467" s="145"/>
      <c r="K467" s="145"/>
      <c r="L467" s="148"/>
      <c r="M467" s="155"/>
      <c r="N467" s="144"/>
      <c r="O467" s="144"/>
      <c r="P467" s="144"/>
      <c r="Q467" s="145"/>
      <c r="R467" s="145"/>
      <c r="S467" s="154"/>
      <c r="T467" s="155"/>
      <c r="U467" s="144"/>
      <c r="V467" s="144"/>
    </row>
    <row r="468" spans="1:22" ht="14" x14ac:dyDescent="0.15">
      <c r="A468" s="144"/>
      <c r="B468" s="144"/>
      <c r="C468" s="145"/>
      <c r="D468" s="145"/>
      <c r="E468" s="148"/>
      <c r="F468" s="147"/>
      <c r="G468" s="144"/>
      <c r="H468" s="144"/>
      <c r="I468" s="144"/>
      <c r="J468" s="145"/>
      <c r="K468" s="145"/>
      <c r="L468" s="148"/>
      <c r="M468" s="155"/>
      <c r="N468" s="144"/>
      <c r="O468" s="144"/>
      <c r="P468" s="144"/>
      <c r="Q468" s="145"/>
      <c r="R468" s="145"/>
      <c r="S468" s="154"/>
      <c r="T468" s="155"/>
      <c r="U468" s="144"/>
      <c r="V468" s="144"/>
    </row>
    <row r="469" spans="1:22" ht="14" x14ac:dyDescent="0.15">
      <c r="A469" s="144"/>
      <c r="B469" s="144"/>
      <c r="C469" s="145"/>
      <c r="D469" s="145"/>
      <c r="E469" s="148"/>
      <c r="F469" s="147"/>
      <c r="G469" s="144"/>
      <c r="H469" s="144"/>
      <c r="I469" s="144"/>
      <c r="J469" s="145"/>
      <c r="K469" s="145"/>
      <c r="L469" s="148"/>
      <c r="M469" s="155"/>
      <c r="N469" s="144"/>
      <c r="O469" s="144"/>
      <c r="P469" s="144"/>
      <c r="Q469" s="145"/>
      <c r="R469" s="145"/>
      <c r="S469" s="154"/>
      <c r="T469" s="155"/>
      <c r="U469" s="144"/>
      <c r="V469" s="144"/>
    </row>
    <row r="470" spans="1:22" ht="14" x14ac:dyDescent="0.15">
      <c r="A470" s="144"/>
      <c r="B470" s="144"/>
      <c r="C470" s="145"/>
      <c r="D470" s="145"/>
      <c r="E470" s="148"/>
      <c r="F470" s="147"/>
      <c r="G470" s="144"/>
      <c r="H470" s="144"/>
      <c r="I470" s="144"/>
      <c r="J470" s="145"/>
      <c r="K470" s="145"/>
      <c r="L470" s="148"/>
      <c r="M470" s="155"/>
      <c r="N470" s="144"/>
      <c r="O470" s="144"/>
      <c r="P470" s="144"/>
      <c r="Q470" s="145"/>
      <c r="R470" s="145"/>
      <c r="S470" s="154"/>
      <c r="T470" s="155"/>
      <c r="U470" s="144"/>
      <c r="V470" s="144"/>
    </row>
    <row r="471" spans="1:22" ht="14" x14ac:dyDescent="0.15">
      <c r="A471" s="144"/>
      <c r="B471" s="144"/>
      <c r="C471" s="145"/>
      <c r="D471" s="145"/>
      <c r="E471" s="148"/>
      <c r="F471" s="147"/>
      <c r="G471" s="144"/>
      <c r="H471" s="144"/>
      <c r="I471" s="144"/>
      <c r="J471" s="145"/>
      <c r="K471" s="145"/>
      <c r="L471" s="148"/>
      <c r="M471" s="155"/>
      <c r="N471" s="144"/>
      <c r="O471" s="144"/>
      <c r="P471" s="144"/>
      <c r="Q471" s="145"/>
      <c r="R471" s="145"/>
      <c r="S471" s="154"/>
      <c r="T471" s="155"/>
      <c r="U471" s="144"/>
      <c r="V471" s="144"/>
    </row>
    <row r="472" spans="1:22" ht="14" x14ac:dyDescent="0.15">
      <c r="A472" s="144"/>
      <c r="B472" s="144"/>
      <c r="C472" s="145"/>
      <c r="D472" s="145"/>
      <c r="E472" s="148"/>
      <c r="F472" s="147"/>
      <c r="G472" s="144"/>
      <c r="H472" s="144"/>
      <c r="I472" s="144"/>
      <c r="J472" s="145"/>
      <c r="K472" s="145"/>
      <c r="L472" s="148"/>
      <c r="M472" s="155"/>
      <c r="N472" s="144"/>
      <c r="O472" s="144"/>
      <c r="P472" s="144"/>
      <c r="Q472" s="145"/>
      <c r="R472" s="145"/>
      <c r="S472" s="154"/>
      <c r="T472" s="155"/>
      <c r="U472" s="144"/>
      <c r="V472" s="144"/>
    </row>
    <row r="473" spans="1:22" ht="14" x14ac:dyDescent="0.15">
      <c r="A473" s="144"/>
      <c r="B473" s="144"/>
      <c r="C473" s="145"/>
      <c r="D473" s="145"/>
      <c r="E473" s="148"/>
      <c r="F473" s="147"/>
      <c r="G473" s="144"/>
      <c r="H473" s="144"/>
      <c r="I473" s="144"/>
      <c r="J473" s="145"/>
      <c r="K473" s="145"/>
      <c r="L473" s="148"/>
      <c r="M473" s="155"/>
      <c r="N473" s="144"/>
      <c r="O473" s="144"/>
      <c r="P473" s="144"/>
      <c r="Q473" s="145"/>
      <c r="R473" s="145"/>
      <c r="S473" s="154"/>
      <c r="T473" s="155"/>
      <c r="U473" s="144"/>
      <c r="V473" s="144"/>
    </row>
    <row r="474" spans="1:22" ht="14" x14ac:dyDescent="0.15">
      <c r="A474" s="144"/>
      <c r="B474" s="144"/>
      <c r="C474" s="145"/>
      <c r="D474" s="145"/>
      <c r="E474" s="148"/>
      <c r="F474" s="147"/>
      <c r="G474" s="144"/>
      <c r="H474" s="144"/>
      <c r="I474" s="144"/>
      <c r="J474" s="145"/>
      <c r="K474" s="145"/>
      <c r="L474" s="148"/>
      <c r="M474" s="155"/>
      <c r="N474" s="144"/>
      <c r="O474" s="144"/>
      <c r="P474" s="144"/>
      <c r="Q474" s="145"/>
      <c r="R474" s="145"/>
      <c r="S474" s="154"/>
      <c r="T474" s="155"/>
      <c r="U474" s="144"/>
      <c r="V474" s="144"/>
    </row>
    <row r="475" spans="1:22" ht="14" x14ac:dyDescent="0.15">
      <c r="A475" s="144"/>
      <c r="B475" s="144"/>
      <c r="C475" s="145"/>
      <c r="D475" s="145"/>
      <c r="E475" s="148"/>
      <c r="F475" s="147"/>
      <c r="G475" s="144"/>
      <c r="H475" s="144"/>
      <c r="I475" s="144"/>
      <c r="J475" s="145"/>
      <c r="K475" s="145"/>
      <c r="L475" s="148"/>
      <c r="M475" s="155"/>
      <c r="N475" s="144"/>
      <c r="O475" s="144"/>
      <c r="P475" s="144"/>
      <c r="Q475" s="145"/>
      <c r="R475" s="145"/>
      <c r="S475" s="154"/>
      <c r="T475" s="155"/>
      <c r="U475" s="144"/>
      <c r="V475" s="144"/>
    </row>
    <row r="476" spans="1:22" ht="14" x14ac:dyDescent="0.15">
      <c r="A476" s="144"/>
      <c r="B476" s="144"/>
      <c r="C476" s="145"/>
      <c r="D476" s="145"/>
      <c r="E476" s="148"/>
      <c r="F476" s="147"/>
      <c r="G476" s="144"/>
      <c r="H476" s="144"/>
      <c r="I476" s="144"/>
      <c r="J476" s="145"/>
      <c r="K476" s="145"/>
      <c r="L476" s="148"/>
      <c r="M476" s="155"/>
      <c r="N476" s="144"/>
      <c r="O476" s="144"/>
      <c r="P476" s="144"/>
      <c r="Q476" s="145"/>
      <c r="R476" s="145"/>
      <c r="S476" s="154"/>
      <c r="T476" s="155"/>
      <c r="U476" s="144"/>
      <c r="V476" s="144"/>
    </row>
    <row r="477" spans="1:22" ht="14" x14ac:dyDescent="0.15">
      <c r="A477" s="144"/>
      <c r="B477" s="144"/>
      <c r="C477" s="145"/>
      <c r="D477" s="145"/>
      <c r="E477" s="148"/>
      <c r="F477" s="147"/>
      <c r="G477" s="144"/>
      <c r="H477" s="144"/>
      <c r="I477" s="144"/>
      <c r="J477" s="145"/>
      <c r="K477" s="145"/>
      <c r="L477" s="148"/>
      <c r="M477" s="155"/>
      <c r="N477" s="144"/>
      <c r="O477" s="144"/>
      <c r="P477" s="144"/>
      <c r="Q477" s="145"/>
      <c r="R477" s="145"/>
      <c r="S477" s="154"/>
      <c r="T477" s="155"/>
      <c r="U477" s="144"/>
      <c r="V477" s="144"/>
    </row>
    <row r="478" spans="1:22" ht="14" x14ac:dyDescent="0.15">
      <c r="A478" s="144"/>
      <c r="B478" s="144"/>
      <c r="C478" s="145"/>
      <c r="D478" s="145"/>
      <c r="E478" s="148"/>
      <c r="F478" s="147"/>
      <c r="G478" s="144"/>
      <c r="H478" s="144"/>
      <c r="I478" s="144"/>
      <c r="J478" s="145"/>
      <c r="K478" s="145"/>
      <c r="L478" s="148"/>
      <c r="M478" s="155"/>
      <c r="N478" s="144"/>
      <c r="O478" s="144"/>
      <c r="P478" s="144"/>
      <c r="Q478" s="145"/>
      <c r="R478" s="145"/>
      <c r="S478" s="154"/>
      <c r="T478" s="155"/>
      <c r="U478" s="144"/>
      <c r="V478" s="144"/>
    </row>
    <row r="479" spans="1:22" ht="14" x14ac:dyDescent="0.15">
      <c r="A479" s="144"/>
      <c r="B479" s="144"/>
      <c r="C479" s="145"/>
      <c r="D479" s="145"/>
      <c r="E479" s="148"/>
      <c r="F479" s="147"/>
      <c r="G479" s="144"/>
      <c r="H479" s="144"/>
      <c r="I479" s="144"/>
      <c r="J479" s="145"/>
      <c r="K479" s="145"/>
      <c r="L479" s="148"/>
      <c r="M479" s="155"/>
      <c r="N479" s="144"/>
      <c r="O479" s="144"/>
      <c r="P479" s="144"/>
      <c r="Q479" s="145"/>
      <c r="R479" s="145"/>
      <c r="S479" s="154"/>
      <c r="T479" s="155"/>
      <c r="U479" s="144"/>
      <c r="V479" s="144"/>
    </row>
    <row r="480" spans="1:22" ht="14" x14ac:dyDescent="0.15">
      <c r="A480" s="144"/>
      <c r="B480" s="144"/>
      <c r="C480" s="145"/>
      <c r="D480" s="145"/>
      <c r="E480" s="148"/>
      <c r="F480" s="147"/>
      <c r="G480" s="144"/>
      <c r="H480" s="144"/>
      <c r="I480" s="144"/>
      <c r="J480" s="145"/>
      <c r="K480" s="145"/>
      <c r="L480" s="148"/>
      <c r="M480" s="155"/>
      <c r="N480" s="144"/>
      <c r="O480" s="144"/>
      <c r="P480" s="144"/>
      <c r="Q480" s="145"/>
      <c r="R480" s="145"/>
      <c r="S480" s="154"/>
      <c r="T480" s="155"/>
      <c r="U480" s="144"/>
      <c r="V480" s="144"/>
    </row>
    <row r="481" spans="1:22" ht="14" x14ac:dyDescent="0.15">
      <c r="A481" s="144"/>
      <c r="B481" s="144"/>
      <c r="C481" s="145"/>
      <c r="D481" s="145"/>
      <c r="E481" s="148"/>
      <c r="F481" s="147"/>
      <c r="G481" s="144"/>
      <c r="H481" s="144"/>
      <c r="I481" s="144"/>
      <c r="J481" s="145"/>
      <c r="K481" s="145"/>
      <c r="L481" s="148"/>
      <c r="M481" s="155"/>
      <c r="N481" s="144"/>
      <c r="O481" s="144"/>
      <c r="P481" s="144"/>
      <c r="Q481" s="145"/>
      <c r="R481" s="145"/>
      <c r="S481" s="154"/>
      <c r="T481" s="155"/>
      <c r="U481" s="144"/>
      <c r="V481" s="144"/>
    </row>
    <row r="482" spans="1:22" ht="14" x14ac:dyDescent="0.15">
      <c r="A482" s="144"/>
      <c r="B482" s="144"/>
      <c r="C482" s="145"/>
      <c r="D482" s="145"/>
      <c r="E482" s="148"/>
      <c r="F482" s="147"/>
      <c r="G482" s="144"/>
      <c r="H482" s="144"/>
      <c r="I482" s="144"/>
      <c r="J482" s="145"/>
      <c r="K482" s="145"/>
      <c r="L482" s="148"/>
      <c r="M482" s="155"/>
      <c r="N482" s="144"/>
      <c r="O482" s="144"/>
      <c r="P482" s="144"/>
      <c r="Q482" s="145"/>
      <c r="R482" s="145"/>
      <c r="S482" s="154"/>
      <c r="T482" s="155"/>
      <c r="U482" s="144"/>
      <c r="V482" s="144"/>
    </row>
    <row r="483" spans="1:22" ht="14" x14ac:dyDescent="0.15">
      <c r="A483" s="144"/>
      <c r="B483" s="144"/>
      <c r="C483" s="145"/>
      <c r="D483" s="145"/>
      <c r="E483" s="148"/>
      <c r="F483" s="147"/>
      <c r="G483" s="144"/>
      <c r="H483" s="144"/>
      <c r="I483" s="144"/>
      <c r="J483" s="145"/>
      <c r="K483" s="145"/>
      <c r="L483" s="148"/>
      <c r="M483" s="155"/>
      <c r="N483" s="144"/>
      <c r="O483" s="144"/>
      <c r="P483" s="144"/>
      <c r="Q483" s="145"/>
      <c r="R483" s="145"/>
      <c r="S483" s="154"/>
      <c r="T483" s="155"/>
      <c r="U483" s="144"/>
      <c r="V483" s="144"/>
    </row>
    <row r="484" spans="1:22" ht="14" x14ac:dyDescent="0.15">
      <c r="A484" s="144"/>
      <c r="B484" s="144"/>
      <c r="C484" s="145"/>
      <c r="D484" s="145"/>
      <c r="E484" s="148"/>
      <c r="F484" s="147"/>
      <c r="G484" s="144"/>
      <c r="H484" s="144"/>
      <c r="I484" s="144"/>
      <c r="J484" s="145"/>
      <c r="K484" s="145"/>
      <c r="L484" s="148"/>
      <c r="M484" s="155"/>
      <c r="N484" s="144"/>
      <c r="O484" s="144"/>
      <c r="P484" s="144"/>
      <c r="Q484" s="145"/>
      <c r="R484" s="145"/>
      <c r="S484" s="154"/>
      <c r="T484" s="155"/>
      <c r="U484" s="144"/>
      <c r="V484" s="144"/>
    </row>
    <row r="485" spans="1:22" ht="14" x14ac:dyDescent="0.15">
      <c r="A485" s="144"/>
      <c r="B485" s="144"/>
      <c r="C485" s="145"/>
      <c r="D485" s="145"/>
      <c r="E485" s="148"/>
      <c r="F485" s="147"/>
      <c r="G485" s="144"/>
      <c r="H485" s="144"/>
      <c r="I485" s="144"/>
      <c r="J485" s="145"/>
      <c r="K485" s="145"/>
      <c r="L485" s="148"/>
      <c r="M485" s="155"/>
      <c r="N485" s="144"/>
      <c r="O485" s="144"/>
      <c r="P485" s="144"/>
      <c r="Q485" s="145"/>
      <c r="R485" s="145"/>
      <c r="S485" s="154"/>
      <c r="T485" s="155"/>
      <c r="U485" s="144"/>
      <c r="V485" s="144"/>
    </row>
    <row r="486" spans="1:22" ht="14" x14ac:dyDescent="0.15">
      <c r="A486" s="144"/>
      <c r="B486" s="144"/>
      <c r="C486" s="145"/>
      <c r="D486" s="145"/>
      <c r="E486" s="148"/>
      <c r="F486" s="147"/>
      <c r="G486" s="144"/>
      <c r="H486" s="144"/>
      <c r="I486" s="144"/>
      <c r="J486" s="145"/>
      <c r="K486" s="145"/>
      <c r="L486" s="148"/>
      <c r="M486" s="155"/>
      <c r="N486" s="144"/>
      <c r="O486" s="144"/>
      <c r="P486" s="144"/>
      <c r="Q486" s="145"/>
      <c r="R486" s="145"/>
      <c r="S486" s="154"/>
      <c r="T486" s="155"/>
      <c r="U486" s="144"/>
      <c r="V486" s="144"/>
    </row>
    <row r="487" spans="1:22" ht="14" x14ac:dyDescent="0.15">
      <c r="A487" s="144"/>
      <c r="B487" s="144"/>
      <c r="C487" s="145"/>
      <c r="D487" s="145"/>
      <c r="E487" s="148"/>
      <c r="F487" s="147"/>
      <c r="G487" s="144"/>
      <c r="H487" s="144"/>
      <c r="I487" s="144"/>
      <c r="J487" s="145"/>
      <c r="K487" s="145"/>
      <c r="L487" s="148"/>
      <c r="M487" s="155"/>
      <c r="N487" s="144"/>
      <c r="O487" s="144"/>
      <c r="P487" s="144"/>
      <c r="Q487" s="145"/>
      <c r="R487" s="145"/>
      <c r="S487" s="154"/>
      <c r="T487" s="155"/>
      <c r="U487" s="144"/>
      <c r="V487" s="144"/>
    </row>
    <row r="488" spans="1:22" ht="14" x14ac:dyDescent="0.15">
      <c r="A488" s="144"/>
      <c r="B488" s="144"/>
      <c r="C488" s="145"/>
      <c r="D488" s="145"/>
      <c r="E488" s="148"/>
      <c r="F488" s="147"/>
      <c r="G488" s="144"/>
      <c r="H488" s="144"/>
      <c r="I488" s="144"/>
      <c r="J488" s="145"/>
      <c r="K488" s="145"/>
      <c r="L488" s="148"/>
      <c r="M488" s="155"/>
      <c r="N488" s="144"/>
      <c r="O488" s="144"/>
      <c r="P488" s="144"/>
      <c r="Q488" s="145"/>
      <c r="R488" s="145"/>
      <c r="S488" s="154"/>
      <c r="T488" s="155"/>
      <c r="U488" s="144"/>
      <c r="V488" s="144"/>
    </row>
    <row r="489" spans="1:22" ht="14" x14ac:dyDescent="0.15">
      <c r="A489" s="144"/>
      <c r="B489" s="144"/>
      <c r="C489" s="145"/>
      <c r="D489" s="145"/>
      <c r="E489" s="148"/>
      <c r="F489" s="147"/>
      <c r="G489" s="144"/>
      <c r="H489" s="144"/>
      <c r="I489" s="144"/>
      <c r="J489" s="145"/>
      <c r="K489" s="145"/>
      <c r="L489" s="148"/>
      <c r="M489" s="155"/>
      <c r="N489" s="144"/>
      <c r="O489" s="144"/>
      <c r="P489" s="144"/>
      <c r="Q489" s="145"/>
      <c r="R489" s="145"/>
      <c r="S489" s="154"/>
      <c r="T489" s="155"/>
      <c r="U489" s="144"/>
      <c r="V489" s="144"/>
    </row>
    <row r="490" spans="1:22" ht="14" x14ac:dyDescent="0.15">
      <c r="A490" s="144"/>
      <c r="B490" s="144"/>
      <c r="C490" s="145"/>
      <c r="D490" s="145"/>
      <c r="E490" s="148"/>
      <c r="F490" s="147"/>
      <c r="G490" s="144"/>
      <c r="H490" s="144"/>
      <c r="I490" s="144"/>
      <c r="J490" s="145"/>
      <c r="K490" s="145"/>
      <c r="L490" s="148"/>
      <c r="M490" s="155"/>
      <c r="N490" s="144"/>
      <c r="O490" s="144"/>
      <c r="P490" s="144"/>
      <c r="Q490" s="145"/>
      <c r="R490" s="145"/>
      <c r="S490" s="154"/>
      <c r="T490" s="155"/>
      <c r="U490" s="144"/>
      <c r="V490" s="144"/>
    </row>
    <row r="491" spans="1:22" ht="14" x14ac:dyDescent="0.15">
      <c r="A491" s="144"/>
      <c r="B491" s="144"/>
      <c r="C491" s="145"/>
      <c r="D491" s="145"/>
      <c r="E491" s="148"/>
      <c r="F491" s="147"/>
      <c r="G491" s="144"/>
      <c r="H491" s="144"/>
      <c r="I491" s="144"/>
      <c r="J491" s="145"/>
      <c r="K491" s="145"/>
      <c r="L491" s="148"/>
      <c r="M491" s="155"/>
      <c r="N491" s="144"/>
      <c r="O491" s="144"/>
      <c r="P491" s="144"/>
      <c r="Q491" s="145"/>
      <c r="R491" s="145"/>
      <c r="S491" s="154"/>
      <c r="T491" s="155"/>
      <c r="U491" s="144"/>
      <c r="V491" s="144"/>
    </row>
    <row r="492" spans="1:22" ht="14" x14ac:dyDescent="0.15">
      <c r="A492" s="144"/>
      <c r="B492" s="144"/>
      <c r="C492" s="145"/>
      <c r="D492" s="145"/>
      <c r="E492" s="148"/>
      <c r="F492" s="147"/>
      <c r="G492" s="144"/>
      <c r="H492" s="144"/>
      <c r="I492" s="144"/>
      <c r="J492" s="145"/>
      <c r="K492" s="145"/>
      <c r="L492" s="148"/>
      <c r="M492" s="155"/>
      <c r="N492" s="144"/>
      <c r="O492" s="144"/>
      <c r="P492" s="144"/>
      <c r="Q492" s="145"/>
      <c r="R492" s="145"/>
      <c r="S492" s="154"/>
      <c r="T492" s="155"/>
      <c r="U492" s="144"/>
      <c r="V492" s="144"/>
    </row>
    <row r="493" spans="1:22" ht="14" x14ac:dyDescent="0.15">
      <c r="A493" s="144"/>
      <c r="B493" s="144"/>
      <c r="C493" s="145"/>
      <c r="D493" s="145"/>
      <c r="E493" s="148"/>
      <c r="F493" s="147"/>
      <c r="G493" s="144"/>
      <c r="H493" s="144"/>
      <c r="I493" s="144"/>
      <c r="J493" s="145"/>
      <c r="K493" s="145"/>
      <c r="L493" s="148"/>
      <c r="M493" s="155"/>
      <c r="N493" s="144"/>
      <c r="O493" s="144"/>
      <c r="P493" s="144"/>
      <c r="Q493" s="145"/>
      <c r="R493" s="145"/>
      <c r="S493" s="154"/>
      <c r="T493" s="155"/>
      <c r="U493" s="144"/>
      <c r="V493" s="144"/>
    </row>
    <row r="494" spans="1:22" ht="14" x14ac:dyDescent="0.15">
      <c r="A494" s="144"/>
      <c r="B494" s="144"/>
      <c r="C494" s="145"/>
      <c r="D494" s="145"/>
      <c r="E494" s="148"/>
      <c r="F494" s="147"/>
      <c r="G494" s="144"/>
      <c r="H494" s="144"/>
      <c r="I494" s="144"/>
      <c r="J494" s="145"/>
      <c r="K494" s="145"/>
      <c r="L494" s="148"/>
      <c r="M494" s="155"/>
      <c r="N494" s="144"/>
      <c r="O494" s="144"/>
      <c r="P494" s="144"/>
      <c r="Q494" s="145"/>
      <c r="R494" s="145"/>
      <c r="S494" s="154"/>
      <c r="T494" s="155"/>
      <c r="U494" s="144"/>
      <c r="V494" s="144"/>
    </row>
    <row r="495" spans="1:22" ht="14" x14ac:dyDescent="0.15">
      <c r="A495" s="144"/>
      <c r="B495" s="144"/>
      <c r="C495" s="145"/>
      <c r="D495" s="145"/>
      <c r="E495" s="148"/>
      <c r="F495" s="147"/>
      <c r="G495" s="144"/>
      <c r="H495" s="144"/>
      <c r="I495" s="144"/>
      <c r="J495" s="145"/>
      <c r="K495" s="145"/>
      <c r="L495" s="148"/>
      <c r="M495" s="155"/>
      <c r="N495" s="144"/>
      <c r="O495" s="144"/>
      <c r="P495" s="144"/>
      <c r="Q495" s="145"/>
      <c r="R495" s="145"/>
      <c r="S495" s="154"/>
      <c r="T495" s="155"/>
      <c r="U495" s="144"/>
      <c r="V495" s="144"/>
    </row>
    <row r="496" spans="1:22" ht="14" x14ac:dyDescent="0.15">
      <c r="A496" s="144"/>
      <c r="B496" s="144"/>
      <c r="C496" s="145"/>
      <c r="D496" s="145"/>
      <c r="E496" s="148"/>
      <c r="F496" s="147"/>
      <c r="G496" s="144"/>
      <c r="H496" s="144"/>
      <c r="I496" s="144"/>
      <c r="J496" s="145"/>
      <c r="K496" s="145"/>
      <c r="L496" s="148"/>
      <c r="M496" s="155"/>
      <c r="N496" s="144"/>
      <c r="O496" s="144"/>
      <c r="P496" s="144"/>
      <c r="Q496" s="145"/>
      <c r="R496" s="145"/>
      <c r="S496" s="154"/>
      <c r="T496" s="155"/>
      <c r="U496" s="144"/>
      <c r="V496" s="144"/>
    </row>
    <row r="497" spans="1:22" ht="14" x14ac:dyDescent="0.15">
      <c r="A497" s="144"/>
      <c r="B497" s="144"/>
      <c r="C497" s="145"/>
      <c r="D497" s="145"/>
      <c r="E497" s="148"/>
      <c r="F497" s="147"/>
      <c r="G497" s="144"/>
      <c r="H497" s="144"/>
      <c r="I497" s="144"/>
      <c r="J497" s="145"/>
      <c r="K497" s="145"/>
      <c r="L497" s="148"/>
      <c r="M497" s="155"/>
      <c r="N497" s="144"/>
      <c r="O497" s="144"/>
      <c r="P497" s="144"/>
      <c r="Q497" s="145"/>
      <c r="R497" s="145"/>
      <c r="S497" s="154"/>
      <c r="T497" s="155"/>
      <c r="U497" s="144"/>
      <c r="V497" s="144"/>
    </row>
    <row r="498" spans="1:22" ht="14" x14ac:dyDescent="0.15">
      <c r="A498" s="144"/>
      <c r="B498" s="144"/>
      <c r="C498" s="145"/>
      <c r="D498" s="145"/>
      <c r="E498" s="148"/>
      <c r="F498" s="147"/>
      <c r="G498" s="144"/>
      <c r="H498" s="144"/>
      <c r="I498" s="144"/>
      <c r="J498" s="145"/>
      <c r="K498" s="145"/>
      <c r="L498" s="148"/>
      <c r="M498" s="155"/>
      <c r="N498" s="144"/>
      <c r="O498" s="144"/>
      <c r="P498" s="144"/>
      <c r="Q498" s="145"/>
      <c r="R498" s="145"/>
      <c r="S498" s="154"/>
      <c r="T498" s="155"/>
      <c r="U498" s="144"/>
      <c r="V498" s="144"/>
    </row>
    <row r="499" spans="1:22" ht="14" x14ac:dyDescent="0.15">
      <c r="A499" s="144"/>
      <c r="B499" s="144"/>
      <c r="C499" s="145"/>
      <c r="D499" s="145"/>
      <c r="E499" s="148"/>
      <c r="F499" s="147"/>
      <c r="G499" s="144"/>
      <c r="H499" s="144"/>
      <c r="I499" s="144"/>
      <c r="J499" s="145"/>
      <c r="K499" s="145"/>
      <c r="L499" s="148"/>
      <c r="M499" s="155"/>
      <c r="N499" s="144"/>
      <c r="O499" s="144"/>
      <c r="P499" s="144"/>
      <c r="Q499" s="145"/>
      <c r="R499" s="145"/>
      <c r="S499" s="154"/>
      <c r="T499" s="155"/>
      <c r="U499" s="144"/>
      <c r="V499" s="144"/>
    </row>
    <row r="500" spans="1:22" ht="14" x14ac:dyDescent="0.15">
      <c r="A500" s="144"/>
      <c r="B500" s="144"/>
      <c r="C500" s="145"/>
      <c r="D500" s="145"/>
      <c r="E500" s="148"/>
      <c r="F500" s="147"/>
      <c r="G500" s="144"/>
      <c r="H500" s="144"/>
      <c r="I500" s="144"/>
      <c r="J500" s="145"/>
      <c r="K500" s="145"/>
      <c r="L500" s="148"/>
      <c r="M500" s="155"/>
      <c r="N500" s="144"/>
      <c r="O500" s="144"/>
      <c r="P500" s="144"/>
      <c r="Q500" s="145"/>
      <c r="R500" s="145"/>
      <c r="S500" s="154"/>
      <c r="T500" s="155"/>
      <c r="U500" s="144"/>
      <c r="V500" s="144"/>
    </row>
    <row r="501" spans="1:22" ht="14" x14ac:dyDescent="0.15">
      <c r="A501" s="144"/>
      <c r="B501" s="144"/>
      <c r="C501" s="145"/>
      <c r="D501" s="145"/>
      <c r="E501" s="148"/>
      <c r="F501" s="147"/>
      <c r="G501" s="144"/>
      <c r="H501" s="144"/>
      <c r="I501" s="144"/>
      <c r="J501" s="145"/>
      <c r="K501" s="145"/>
      <c r="L501" s="148"/>
      <c r="M501" s="155"/>
      <c r="N501" s="144"/>
      <c r="O501" s="144"/>
      <c r="P501" s="144"/>
      <c r="Q501" s="145"/>
      <c r="R501" s="145"/>
      <c r="S501" s="154"/>
      <c r="T501" s="155"/>
      <c r="U501" s="144"/>
      <c r="V501" s="144"/>
    </row>
    <row r="502" spans="1:22" ht="14" x14ac:dyDescent="0.15">
      <c r="A502" s="144"/>
      <c r="B502" s="144"/>
      <c r="C502" s="145"/>
      <c r="D502" s="145"/>
      <c r="E502" s="148"/>
      <c r="F502" s="147"/>
      <c r="G502" s="144"/>
      <c r="H502" s="144"/>
      <c r="I502" s="144"/>
      <c r="J502" s="145"/>
      <c r="K502" s="145"/>
      <c r="L502" s="148"/>
      <c r="M502" s="155"/>
      <c r="N502" s="144"/>
      <c r="O502" s="144"/>
      <c r="P502" s="144"/>
      <c r="Q502" s="145"/>
      <c r="R502" s="145"/>
      <c r="S502" s="154"/>
      <c r="T502" s="155"/>
      <c r="U502" s="144"/>
      <c r="V502" s="144"/>
    </row>
    <row r="503" spans="1:22" ht="14" x14ac:dyDescent="0.15">
      <c r="A503" s="144"/>
      <c r="B503" s="144"/>
      <c r="C503" s="145"/>
      <c r="D503" s="145"/>
      <c r="E503" s="148"/>
      <c r="F503" s="147"/>
      <c r="G503" s="144"/>
      <c r="H503" s="144"/>
      <c r="I503" s="144"/>
      <c r="J503" s="145"/>
      <c r="K503" s="145"/>
      <c r="L503" s="148"/>
      <c r="M503" s="155"/>
      <c r="N503" s="144"/>
      <c r="O503" s="144"/>
      <c r="P503" s="144"/>
      <c r="Q503" s="145"/>
      <c r="R503" s="145"/>
      <c r="S503" s="154"/>
      <c r="T503" s="155"/>
      <c r="U503" s="144"/>
      <c r="V503" s="144"/>
    </row>
    <row r="504" spans="1:22" ht="14" x14ac:dyDescent="0.15">
      <c r="A504" s="144"/>
      <c r="B504" s="144"/>
      <c r="C504" s="145"/>
      <c r="D504" s="145"/>
      <c r="E504" s="148"/>
      <c r="F504" s="147"/>
      <c r="G504" s="144"/>
      <c r="H504" s="144"/>
      <c r="I504" s="144"/>
      <c r="J504" s="145"/>
      <c r="K504" s="145"/>
      <c r="L504" s="148"/>
      <c r="M504" s="155"/>
      <c r="N504" s="144"/>
      <c r="O504" s="144"/>
      <c r="P504" s="144"/>
      <c r="Q504" s="145"/>
      <c r="R504" s="145"/>
      <c r="S504" s="154"/>
      <c r="T504" s="155"/>
      <c r="U504" s="144"/>
      <c r="V504" s="144"/>
    </row>
    <row r="505" spans="1:22" ht="14" x14ac:dyDescent="0.15">
      <c r="A505" s="144"/>
      <c r="B505" s="144"/>
      <c r="C505" s="145"/>
      <c r="D505" s="145"/>
      <c r="E505" s="148"/>
      <c r="F505" s="147"/>
      <c r="G505" s="144"/>
      <c r="H505" s="144"/>
      <c r="I505" s="144"/>
      <c r="J505" s="145"/>
      <c r="K505" s="145"/>
      <c r="L505" s="148"/>
      <c r="M505" s="155"/>
      <c r="N505" s="144"/>
      <c r="O505" s="144"/>
      <c r="P505" s="144"/>
      <c r="Q505" s="145"/>
      <c r="R505" s="145"/>
      <c r="S505" s="154"/>
      <c r="T505" s="155"/>
      <c r="U505" s="144"/>
      <c r="V505" s="144"/>
    </row>
    <row r="506" spans="1:22" ht="14" x14ac:dyDescent="0.15">
      <c r="A506" s="144"/>
      <c r="B506" s="144"/>
      <c r="C506" s="145"/>
      <c r="D506" s="145"/>
      <c r="E506" s="148"/>
      <c r="F506" s="147"/>
      <c r="G506" s="144"/>
      <c r="H506" s="144"/>
      <c r="I506" s="144"/>
      <c r="J506" s="145"/>
      <c r="K506" s="145"/>
      <c r="L506" s="148"/>
      <c r="M506" s="155"/>
      <c r="N506" s="144"/>
      <c r="O506" s="144"/>
      <c r="P506" s="144"/>
      <c r="Q506" s="145"/>
      <c r="R506" s="145"/>
      <c r="S506" s="154"/>
      <c r="T506" s="155"/>
      <c r="U506" s="144"/>
      <c r="V506" s="144"/>
    </row>
    <row r="507" spans="1:22" ht="14" x14ac:dyDescent="0.15">
      <c r="A507" s="144"/>
      <c r="B507" s="144"/>
      <c r="C507" s="145"/>
      <c r="D507" s="145"/>
      <c r="E507" s="148"/>
      <c r="F507" s="147"/>
      <c r="G507" s="144"/>
      <c r="H507" s="144"/>
      <c r="I507" s="144"/>
      <c r="J507" s="145"/>
      <c r="K507" s="145"/>
      <c r="L507" s="148"/>
      <c r="M507" s="155"/>
      <c r="N507" s="144"/>
      <c r="O507" s="144"/>
      <c r="P507" s="144"/>
      <c r="Q507" s="145"/>
      <c r="R507" s="145"/>
      <c r="S507" s="154"/>
      <c r="T507" s="155"/>
      <c r="U507" s="144"/>
      <c r="V507" s="144"/>
    </row>
    <row r="508" spans="1:22" ht="14" x14ac:dyDescent="0.15">
      <c r="A508" s="144"/>
      <c r="B508" s="144"/>
      <c r="C508" s="145"/>
      <c r="D508" s="145"/>
      <c r="E508" s="148"/>
      <c r="F508" s="147"/>
      <c r="G508" s="144"/>
      <c r="H508" s="144"/>
      <c r="I508" s="144"/>
      <c r="J508" s="145"/>
      <c r="K508" s="145"/>
      <c r="L508" s="148"/>
      <c r="M508" s="155"/>
      <c r="N508" s="144"/>
      <c r="O508" s="144"/>
      <c r="P508" s="144"/>
      <c r="Q508" s="145"/>
      <c r="R508" s="145"/>
      <c r="S508" s="154"/>
      <c r="T508" s="155"/>
      <c r="U508" s="144"/>
      <c r="V508" s="144"/>
    </row>
    <row r="509" spans="1:22" ht="14" x14ac:dyDescent="0.15">
      <c r="A509" s="144"/>
      <c r="B509" s="144"/>
      <c r="C509" s="145"/>
      <c r="D509" s="145"/>
      <c r="E509" s="148"/>
      <c r="F509" s="147"/>
      <c r="G509" s="144"/>
      <c r="H509" s="144"/>
      <c r="I509" s="144"/>
      <c r="J509" s="145"/>
      <c r="K509" s="145"/>
      <c r="L509" s="148"/>
      <c r="M509" s="155"/>
      <c r="N509" s="144"/>
      <c r="O509" s="144"/>
      <c r="P509" s="144"/>
      <c r="Q509" s="145"/>
      <c r="R509" s="145"/>
      <c r="S509" s="154"/>
      <c r="T509" s="155"/>
      <c r="U509" s="144"/>
      <c r="V509" s="144"/>
    </row>
    <row r="510" spans="1:22" ht="14" x14ac:dyDescent="0.15">
      <c r="A510" s="144"/>
      <c r="B510" s="144"/>
      <c r="C510" s="145"/>
      <c r="D510" s="145"/>
      <c r="E510" s="148"/>
      <c r="F510" s="147"/>
      <c r="G510" s="144"/>
      <c r="H510" s="144"/>
      <c r="I510" s="144"/>
      <c r="J510" s="145"/>
      <c r="K510" s="145"/>
      <c r="L510" s="148"/>
      <c r="M510" s="155"/>
      <c r="N510" s="144"/>
      <c r="O510" s="144"/>
      <c r="P510" s="144"/>
      <c r="Q510" s="145"/>
      <c r="R510" s="145"/>
      <c r="S510" s="154"/>
      <c r="T510" s="155"/>
      <c r="U510" s="144"/>
      <c r="V510" s="144"/>
    </row>
    <row r="511" spans="1:22" ht="14" x14ac:dyDescent="0.15">
      <c r="A511" s="144"/>
      <c r="B511" s="144"/>
      <c r="C511" s="145"/>
      <c r="D511" s="145"/>
      <c r="E511" s="148"/>
      <c r="F511" s="147"/>
      <c r="G511" s="144"/>
      <c r="H511" s="144"/>
      <c r="I511" s="144"/>
      <c r="J511" s="145"/>
      <c r="K511" s="145"/>
      <c r="L511" s="148"/>
      <c r="M511" s="155"/>
      <c r="N511" s="144"/>
      <c r="O511" s="144"/>
      <c r="P511" s="144"/>
      <c r="Q511" s="145"/>
      <c r="R511" s="145"/>
      <c r="S511" s="154"/>
      <c r="T511" s="155"/>
      <c r="U511" s="144"/>
      <c r="V511" s="144"/>
    </row>
    <row r="512" spans="1:22" ht="14" x14ac:dyDescent="0.15">
      <c r="A512" s="144"/>
      <c r="B512" s="144"/>
      <c r="C512" s="145"/>
      <c r="D512" s="145"/>
      <c r="E512" s="148"/>
      <c r="F512" s="147"/>
      <c r="G512" s="144"/>
      <c r="H512" s="144"/>
      <c r="I512" s="144"/>
      <c r="J512" s="145"/>
      <c r="K512" s="145"/>
      <c r="L512" s="148"/>
      <c r="M512" s="155"/>
      <c r="N512" s="144"/>
      <c r="O512" s="144"/>
      <c r="P512" s="144"/>
      <c r="Q512" s="145"/>
      <c r="R512" s="145"/>
      <c r="S512" s="154"/>
      <c r="T512" s="155"/>
      <c r="U512" s="144"/>
      <c r="V512" s="144"/>
    </row>
    <row r="513" spans="1:22" ht="14" x14ac:dyDescent="0.15">
      <c r="A513" s="144"/>
      <c r="B513" s="144"/>
      <c r="C513" s="145"/>
      <c r="D513" s="145"/>
      <c r="E513" s="148"/>
      <c r="F513" s="147"/>
      <c r="G513" s="144"/>
      <c r="H513" s="144"/>
      <c r="I513" s="144"/>
      <c r="J513" s="145"/>
      <c r="K513" s="145"/>
      <c r="L513" s="148"/>
      <c r="M513" s="155"/>
      <c r="N513" s="144"/>
      <c r="O513" s="144"/>
      <c r="P513" s="144"/>
      <c r="Q513" s="145"/>
      <c r="R513" s="145"/>
      <c r="S513" s="154"/>
      <c r="T513" s="155"/>
      <c r="U513" s="144"/>
      <c r="V513" s="144"/>
    </row>
    <row r="514" spans="1:22" ht="14" x14ac:dyDescent="0.15">
      <c r="A514" s="144"/>
      <c r="B514" s="144"/>
      <c r="C514" s="145"/>
      <c r="D514" s="145"/>
      <c r="E514" s="148"/>
      <c r="F514" s="147"/>
      <c r="G514" s="144"/>
      <c r="H514" s="144"/>
      <c r="I514" s="144"/>
      <c r="J514" s="145"/>
      <c r="K514" s="145"/>
      <c r="L514" s="148"/>
      <c r="M514" s="155"/>
      <c r="N514" s="144"/>
      <c r="O514" s="144"/>
      <c r="P514" s="144"/>
      <c r="Q514" s="145"/>
      <c r="R514" s="145"/>
      <c r="S514" s="154"/>
      <c r="T514" s="155"/>
      <c r="U514" s="144"/>
      <c r="V514" s="144"/>
    </row>
    <row r="515" spans="1:22" ht="14" x14ac:dyDescent="0.15">
      <c r="A515" s="144"/>
      <c r="B515" s="144"/>
      <c r="C515" s="145"/>
      <c r="D515" s="145"/>
      <c r="E515" s="148"/>
      <c r="F515" s="147"/>
      <c r="G515" s="144"/>
      <c r="H515" s="144"/>
      <c r="I515" s="144"/>
      <c r="J515" s="145"/>
      <c r="K515" s="145"/>
      <c r="L515" s="148"/>
      <c r="M515" s="155"/>
      <c r="N515" s="144"/>
      <c r="O515" s="144"/>
      <c r="P515" s="144"/>
      <c r="Q515" s="145"/>
      <c r="R515" s="145"/>
      <c r="S515" s="154"/>
      <c r="T515" s="155"/>
      <c r="U515" s="144"/>
      <c r="V515" s="144"/>
    </row>
    <row r="516" spans="1:22" ht="14" x14ac:dyDescent="0.15">
      <c r="A516" s="144"/>
      <c r="B516" s="144"/>
      <c r="C516" s="145"/>
      <c r="D516" s="145"/>
      <c r="E516" s="148"/>
      <c r="F516" s="147"/>
      <c r="G516" s="144"/>
      <c r="H516" s="144"/>
      <c r="I516" s="144"/>
      <c r="J516" s="145"/>
      <c r="K516" s="145"/>
      <c r="L516" s="148"/>
      <c r="M516" s="155"/>
      <c r="N516" s="144"/>
      <c r="O516" s="144"/>
      <c r="P516" s="144"/>
      <c r="Q516" s="145"/>
      <c r="R516" s="145"/>
      <c r="S516" s="154"/>
      <c r="T516" s="155"/>
      <c r="U516" s="144"/>
      <c r="V516" s="144"/>
    </row>
    <row r="517" spans="1:22" ht="14" x14ac:dyDescent="0.15">
      <c r="A517" s="144"/>
      <c r="B517" s="144"/>
      <c r="C517" s="145"/>
      <c r="D517" s="145"/>
      <c r="E517" s="148"/>
      <c r="F517" s="147"/>
      <c r="G517" s="144"/>
      <c r="H517" s="144"/>
      <c r="I517" s="144"/>
      <c r="J517" s="145"/>
      <c r="K517" s="145"/>
      <c r="L517" s="148"/>
      <c r="M517" s="155"/>
      <c r="N517" s="144"/>
      <c r="O517" s="144"/>
      <c r="P517" s="144"/>
      <c r="Q517" s="145"/>
      <c r="R517" s="145"/>
      <c r="S517" s="154"/>
      <c r="T517" s="155"/>
      <c r="U517" s="144"/>
      <c r="V517" s="144"/>
    </row>
    <row r="518" spans="1:22" ht="14" x14ac:dyDescent="0.15">
      <c r="A518" s="144"/>
      <c r="B518" s="144"/>
      <c r="C518" s="145"/>
      <c r="D518" s="145"/>
      <c r="E518" s="148"/>
      <c r="F518" s="147"/>
      <c r="G518" s="144"/>
      <c r="H518" s="144"/>
      <c r="I518" s="144"/>
      <c r="J518" s="145"/>
      <c r="K518" s="145"/>
      <c r="L518" s="148"/>
      <c r="M518" s="155"/>
      <c r="N518" s="144"/>
      <c r="O518" s="144"/>
      <c r="P518" s="144"/>
      <c r="Q518" s="145"/>
      <c r="R518" s="145"/>
      <c r="S518" s="154"/>
      <c r="T518" s="155"/>
      <c r="U518" s="144"/>
      <c r="V518" s="144"/>
    </row>
    <row r="519" spans="1:22" ht="14" x14ac:dyDescent="0.15">
      <c r="A519" s="144"/>
      <c r="B519" s="144"/>
      <c r="C519" s="145"/>
      <c r="D519" s="145"/>
      <c r="E519" s="148"/>
      <c r="F519" s="147"/>
      <c r="G519" s="144"/>
      <c r="H519" s="144"/>
      <c r="I519" s="144"/>
      <c r="J519" s="145"/>
      <c r="K519" s="145"/>
      <c r="L519" s="148"/>
      <c r="M519" s="155"/>
      <c r="N519" s="144"/>
      <c r="O519" s="144"/>
      <c r="P519" s="144"/>
      <c r="Q519" s="145"/>
      <c r="R519" s="145"/>
      <c r="S519" s="154"/>
      <c r="T519" s="155"/>
      <c r="U519" s="144"/>
      <c r="V519" s="144"/>
    </row>
    <row r="520" spans="1:22" ht="14" x14ac:dyDescent="0.15">
      <c r="A520" s="144"/>
      <c r="B520" s="144"/>
      <c r="C520" s="145"/>
      <c r="D520" s="145"/>
      <c r="E520" s="148"/>
      <c r="F520" s="147"/>
      <c r="G520" s="144"/>
      <c r="H520" s="144"/>
      <c r="I520" s="144"/>
      <c r="J520" s="145"/>
      <c r="K520" s="145"/>
      <c r="L520" s="148"/>
      <c r="M520" s="155"/>
      <c r="N520" s="144"/>
      <c r="O520" s="144"/>
      <c r="P520" s="144"/>
      <c r="Q520" s="145"/>
      <c r="R520" s="145"/>
      <c r="S520" s="154"/>
      <c r="T520" s="155"/>
      <c r="U520" s="144"/>
      <c r="V520" s="144"/>
    </row>
    <row r="521" spans="1:22" ht="14" x14ac:dyDescent="0.15">
      <c r="A521" s="144"/>
      <c r="B521" s="144"/>
      <c r="C521" s="145"/>
      <c r="D521" s="145"/>
      <c r="E521" s="148"/>
      <c r="F521" s="147"/>
      <c r="G521" s="144"/>
      <c r="H521" s="144"/>
      <c r="I521" s="144"/>
      <c r="J521" s="145"/>
      <c r="K521" s="145"/>
      <c r="L521" s="148"/>
      <c r="M521" s="155"/>
      <c r="N521" s="144"/>
      <c r="O521" s="144"/>
      <c r="P521" s="144"/>
      <c r="Q521" s="145"/>
      <c r="R521" s="145"/>
      <c r="S521" s="154"/>
      <c r="T521" s="155"/>
      <c r="U521" s="144"/>
      <c r="V521" s="144"/>
    </row>
    <row r="522" spans="1:22" ht="14" x14ac:dyDescent="0.15">
      <c r="A522" s="144"/>
      <c r="B522" s="144"/>
      <c r="C522" s="145"/>
      <c r="D522" s="145"/>
      <c r="E522" s="148"/>
      <c r="F522" s="147"/>
      <c r="G522" s="144"/>
      <c r="H522" s="144"/>
      <c r="I522" s="144"/>
      <c r="J522" s="145"/>
      <c r="K522" s="145"/>
      <c r="L522" s="148"/>
      <c r="M522" s="155"/>
      <c r="N522" s="144"/>
      <c r="O522" s="144"/>
      <c r="P522" s="144"/>
      <c r="Q522" s="145"/>
      <c r="R522" s="145"/>
      <c r="S522" s="154"/>
      <c r="T522" s="155"/>
      <c r="U522" s="144"/>
      <c r="V522" s="144"/>
    </row>
    <row r="523" spans="1:22" ht="14" x14ac:dyDescent="0.15">
      <c r="A523" s="144"/>
      <c r="B523" s="144"/>
      <c r="C523" s="145"/>
      <c r="D523" s="145"/>
      <c r="E523" s="148"/>
      <c r="F523" s="147"/>
      <c r="G523" s="144"/>
      <c r="H523" s="144"/>
      <c r="I523" s="144"/>
      <c r="J523" s="145"/>
      <c r="K523" s="145"/>
      <c r="L523" s="148"/>
      <c r="M523" s="155"/>
      <c r="N523" s="144"/>
      <c r="O523" s="144"/>
      <c r="P523" s="144"/>
      <c r="Q523" s="145"/>
      <c r="R523" s="145"/>
      <c r="S523" s="154"/>
      <c r="T523" s="155"/>
      <c r="U523" s="144"/>
      <c r="V523" s="144"/>
    </row>
    <row r="524" spans="1:22" ht="14" x14ac:dyDescent="0.15">
      <c r="A524" s="144"/>
      <c r="B524" s="144"/>
      <c r="C524" s="145"/>
      <c r="D524" s="145"/>
      <c r="E524" s="148"/>
      <c r="F524" s="147"/>
      <c r="G524" s="144"/>
      <c r="H524" s="144"/>
      <c r="I524" s="144"/>
      <c r="J524" s="145"/>
      <c r="K524" s="145"/>
      <c r="L524" s="148"/>
      <c r="M524" s="155"/>
      <c r="N524" s="144"/>
      <c r="O524" s="144"/>
      <c r="P524" s="144"/>
      <c r="Q524" s="145"/>
      <c r="R524" s="145"/>
      <c r="S524" s="154"/>
      <c r="T524" s="155"/>
      <c r="U524" s="144"/>
      <c r="V524" s="144"/>
    </row>
    <row r="525" spans="1:22" ht="14" x14ac:dyDescent="0.15">
      <c r="A525" s="144"/>
      <c r="B525" s="144"/>
      <c r="C525" s="145"/>
      <c r="D525" s="145"/>
      <c r="E525" s="148"/>
      <c r="F525" s="147"/>
      <c r="G525" s="144"/>
      <c r="H525" s="144"/>
      <c r="I525" s="144"/>
      <c r="J525" s="145"/>
      <c r="K525" s="145"/>
      <c r="L525" s="148"/>
      <c r="M525" s="155"/>
      <c r="N525" s="144"/>
      <c r="O525" s="144"/>
      <c r="P525" s="144"/>
      <c r="Q525" s="145"/>
      <c r="R525" s="145"/>
      <c r="S525" s="154"/>
      <c r="T525" s="155"/>
      <c r="U525" s="144"/>
      <c r="V525" s="144"/>
    </row>
    <row r="526" spans="1:22" ht="14" x14ac:dyDescent="0.15">
      <c r="A526" s="144"/>
      <c r="B526" s="144"/>
      <c r="C526" s="145"/>
      <c r="D526" s="145"/>
      <c r="E526" s="148"/>
      <c r="F526" s="147"/>
      <c r="G526" s="144"/>
      <c r="H526" s="144"/>
      <c r="I526" s="144"/>
      <c r="J526" s="145"/>
      <c r="K526" s="145"/>
      <c r="L526" s="148"/>
      <c r="M526" s="155"/>
      <c r="N526" s="144"/>
      <c r="O526" s="144"/>
      <c r="P526" s="144"/>
      <c r="Q526" s="145"/>
      <c r="R526" s="145"/>
      <c r="S526" s="154"/>
      <c r="T526" s="155"/>
      <c r="U526" s="144"/>
      <c r="V526" s="144"/>
    </row>
    <row r="527" spans="1:22" ht="14" x14ac:dyDescent="0.15">
      <c r="A527" s="144"/>
      <c r="B527" s="144"/>
      <c r="C527" s="145"/>
      <c r="D527" s="145"/>
      <c r="E527" s="148"/>
      <c r="F527" s="147"/>
      <c r="G527" s="144"/>
      <c r="H527" s="144"/>
      <c r="I527" s="144"/>
      <c r="J527" s="145"/>
      <c r="K527" s="145"/>
      <c r="L527" s="148"/>
      <c r="M527" s="155"/>
      <c r="N527" s="144"/>
      <c r="O527" s="144"/>
      <c r="P527" s="144"/>
      <c r="Q527" s="145"/>
      <c r="R527" s="145"/>
      <c r="S527" s="154"/>
      <c r="T527" s="155"/>
      <c r="U527" s="144"/>
      <c r="V527" s="144"/>
    </row>
    <row r="528" spans="1:22" ht="14" x14ac:dyDescent="0.15">
      <c r="A528" s="144"/>
      <c r="B528" s="144"/>
      <c r="C528" s="145"/>
      <c r="D528" s="145"/>
      <c r="E528" s="148"/>
      <c r="F528" s="147"/>
      <c r="G528" s="144"/>
      <c r="H528" s="144"/>
      <c r="I528" s="144"/>
      <c r="J528" s="145"/>
      <c r="K528" s="145"/>
      <c r="L528" s="148"/>
      <c r="M528" s="155"/>
      <c r="N528" s="144"/>
      <c r="O528" s="144"/>
      <c r="P528" s="144"/>
      <c r="Q528" s="145"/>
      <c r="R528" s="145"/>
      <c r="S528" s="154"/>
      <c r="T528" s="155"/>
      <c r="U528" s="144"/>
      <c r="V528" s="144"/>
    </row>
    <row r="529" spans="1:22" ht="14" x14ac:dyDescent="0.15">
      <c r="A529" s="144"/>
      <c r="B529" s="144"/>
      <c r="C529" s="145"/>
      <c r="D529" s="145"/>
      <c r="E529" s="148"/>
      <c r="F529" s="147"/>
      <c r="G529" s="144"/>
      <c r="H529" s="144"/>
      <c r="I529" s="144"/>
      <c r="J529" s="145"/>
      <c r="K529" s="145"/>
      <c r="L529" s="148"/>
      <c r="M529" s="155"/>
      <c r="N529" s="144"/>
      <c r="O529" s="144"/>
      <c r="P529" s="144"/>
      <c r="Q529" s="145"/>
      <c r="R529" s="145"/>
      <c r="S529" s="154"/>
      <c r="T529" s="155"/>
      <c r="U529" s="144"/>
      <c r="V529" s="144"/>
    </row>
    <row r="530" spans="1:22" ht="14" x14ac:dyDescent="0.15">
      <c r="A530" s="144"/>
      <c r="B530" s="144"/>
      <c r="C530" s="145"/>
      <c r="D530" s="145"/>
      <c r="E530" s="148"/>
      <c r="F530" s="147"/>
      <c r="G530" s="144"/>
      <c r="H530" s="144"/>
      <c r="I530" s="144"/>
      <c r="J530" s="145"/>
      <c r="K530" s="145"/>
      <c r="L530" s="148"/>
      <c r="M530" s="155"/>
      <c r="N530" s="144"/>
      <c r="O530" s="144"/>
      <c r="P530" s="144"/>
      <c r="Q530" s="145"/>
      <c r="R530" s="145"/>
      <c r="S530" s="154"/>
      <c r="T530" s="155"/>
      <c r="U530" s="144"/>
      <c r="V530" s="144"/>
    </row>
    <row r="531" spans="1:22" ht="14" x14ac:dyDescent="0.15">
      <c r="A531" s="144"/>
      <c r="B531" s="144"/>
      <c r="C531" s="145"/>
      <c r="D531" s="145"/>
      <c r="E531" s="148"/>
      <c r="F531" s="147"/>
      <c r="G531" s="144"/>
      <c r="H531" s="144"/>
      <c r="I531" s="144"/>
      <c r="J531" s="145"/>
      <c r="K531" s="145"/>
      <c r="L531" s="148"/>
      <c r="M531" s="155"/>
      <c r="N531" s="144"/>
      <c r="O531" s="144"/>
      <c r="P531" s="144"/>
      <c r="Q531" s="145"/>
      <c r="R531" s="145"/>
      <c r="S531" s="154"/>
      <c r="T531" s="155"/>
      <c r="U531" s="144"/>
      <c r="V531" s="144"/>
    </row>
    <row r="532" spans="1:22" ht="14" x14ac:dyDescent="0.15">
      <c r="A532" s="144"/>
      <c r="B532" s="144"/>
      <c r="C532" s="145"/>
      <c r="D532" s="145"/>
      <c r="E532" s="148"/>
      <c r="F532" s="147"/>
      <c r="G532" s="144"/>
      <c r="H532" s="144"/>
      <c r="I532" s="144"/>
      <c r="J532" s="145"/>
      <c r="K532" s="145"/>
      <c r="L532" s="148"/>
      <c r="M532" s="155"/>
      <c r="N532" s="144"/>
      <c r="O532" s="144"/>
      <c r="P532" s="144"/>
      <c r="Q532" s="145"/>
      <c r="R532" s="145"/>
      <c r="S532" s="154"/>
      <c r="T532" s="155"/>
      <c r="U532" s="144"/>
      <c r="V532" s="144"/>
    </row>
    <row r="533" spans="1:22" ht="14" x14ac:dyDescent="0.15">
      <c r="A533" s="144"/>
      <c r="B533" s="144"/>
      <c r="C533" s="145"/>
      <c r="D533" s="145"/>
      <c r="E533" s="148"/>
      <c r="F533" s="147"/>
      <c r="G533" s="144"/>
      <c r="H533" s="144"/>
      <c r="I533" s="144"/>
      <c r="J533" s="145"/>
      <c r="K533" s="145"/>
      <c r="L533" s="148"/>
      <c r="M533" s="155"/>
      <c r="N533" s="144"/>
      <c r="O533" s="144"/>
      <c r="P533" s="144"/>
      <c r="Q533" s="145"/>
      <c r="R533" s="145"/>
      <c r="S533" s="154"/>
      <c r="T533" s="155"/>
      <c r="U533" s="144"/>
      <c r="V533" s="144"/>
    </row>
    <row r="534" spans="1:22" ht="14" x14ac:dyDescent="0.15">
      <c r="A534" s="144"/>
      <c r="B534" s="144"/>
      <c r="C534" s="145"/>
      <c r="D534" s="145"/>
      <c r="E534" s="148"/>
      <c r="F534" s="147"/>
      <c r="G534" s="144"/>
      <c r="H534" s="144"/>
      <c r="I534" s="144"/>
      <c r="J534" s="145"/>
      <c r="K534" s="145"/>
      <c r="L534" s="148"/>
      <c r="M534" s="155"/>
      <c r="N534" s="144"/>
      <c r="O534" s="144"/>
      <c r="P534" s="144"/>
      <c r="Q534" s="145"/>
      <c r="R534" s="145"/>
      <c r="S534" s="154"/>
      <c r="T534" s="155"/>
      <c r="U534" s="144"/>
      <c r="V534" s="144"/>
    </row>
    <row r="535" spans="1:22" ht="14" x14ac:dyDescent="0.15">
      <c r="A535" s="144"/>
      <c r="B535" s="144"/>
      <c r="C535" s="145"/>
      <c r="D535" s="145"/>
      <c r="E535" s="148"/>
      <c r="F535" s="147"/>
      <c r="G535" s="144"/>
      <c r="H535" s="144"/>
      <c r="I535" s="144"/>
      <c r="J535" s="145"/>
      <c r="K535" s="145"/>
      <c r="L535" s="148"/>
      <c r="M535" s="155"/>
      <c r="N535" s="144"/>
      <c r="O535" s="144"/>
      <c r="P535" s="144"/>
      <c r="Q535" s="145"/>
      <c r="R535" s="145"/>
      <c r="S535" s="154"/>
      <c r="T535" s="155"/>
      <c r="U535" s="144"/>
      <c r="V535" s="144"/>
    </row>
    <row r="536" spans="1:22" ht="14" x14ac:dyDescent="0.15">
      <c r="A536" s="144"/>
      <c r="B536" s="144"/>
      <c r="C536" s="145"/>
      <c r="D536" s="145"/>
      <c r="E536" s="148"/>
      <c r="F536" s="147"/>
      <c r="G536" s="144"/>
      <c r="H536" s="144"/>
      <c r="I536" s="144"/>
      <c r="J536" s="145"/>
      <c r="K536" s="145"/>
      <c r="L536" s="148"/>
      <c r="M536" s="155"/>
      <c r="N536" s="144"/>
      <c r="O536" s="144"/>
      <c r="P536" s="144"/>
      <c r="Q536" s="145"/>
      <c r="R536" s="145"/>
      <c r="S536" s="154"/>
      <c r="T536" s="155"/>
      <c r="U536" s="144"/>
      <c r="V536" s="144"/>
    </row>
    <row r="537" spans="1:22" ht="14" x14ac:dyDescent="0.15">
      <c r="A537" s="144"/>
      <c r="B537" s="144"/>
      <c r="C537" s="145"/>
      <c r="D537" s="145"/>
      <c r="E537" s="148"/>
      <c r="F537" s="147"/>
      <c r="G537" s="144"/>
      <c r="H537" s="144"/>
      <c r="I537" s="144"/>
      <c r="J537" s="145"/>
      <c r="K537" s="145"/>
      <c r="L537" s="148"/>
      <c r="M537" s="155"/>
      <c r="N537" s="144"/>
      <c r="O537" s="144"/>
      <c r="P537" s="144"/>
      <c r="Q537" s="145"/>
      <c r="R537" s="145"/>
      <c r="S537" s="154"/>
      <c r="T537" s="155"/>
      <c r="U537" s="144"/>
      <c r="V537" s="144"/>
    </row>
    <row r="538" spans="1:22" ht="14" x14ac:dyDescent="0.15">
      <c r="A538" s="144"/>
      <c r="B538" s="144"/>
      <c r="C538" s="145"/>
      <c r="D538" s="145"/>
      <c r="E538" s="148"/>
      <c r="F538" s="147"/>
      <c r="G538" s="144"/>
      <c r="H538" s="144"/>
      <c r="I538" s="144"/>
      <c r="J538" s="145"/>
      <c r="K538" s="145"/>
      <c r="L538" s="148"/>
      <c r="M538" s="155"/>
      <c r="N538" s="144"/>
      <c r="O538" s="144"/>
      <c r="P538" s="144"/>
      <c r="Q538" s="145"/>
      <c r="R538" s="145"/>
      <c r="S538" s="154"/>
      <c r="T538" s="155"/>
      <c r="U538" s="144"/>
      <c r="V538" s="144"/>
    </row>
    <row r="539" spans="1:22" ht="14" x14ac:dyDescent="0.15">
      <c r="A539" s="144"/>
      <c r="B539" s="144"/>
      <c r="C539" s="145"/>
      <c r="D539" s="145"/>
      <c r="E539" s="148"/>
      <c r="F539" s="147"/>
      <c r="G539" s="144"/>
      <c r="H539" s="144"/>
      <c r="I539" s="144"/>
      <c r="J539" s="145"/>
      <c r="K539" s="145"/>
      <c r="L539" s="148"/>
      <c r="M539" s="155"/>
      <c r="N539" s="144"/>
      <c r="O539" s="144"/>
      <c r="P539" s="144"/>
      <c r="Q539" s="145"/>
      <c r="R539" s="145"/>
      <c r="S539" s="154"/>
      <c r="T539" s="155"/>
      <c r="U539" s="144"/>
      <c r="V539" s="144"/>
    </row>
    <row r="540" spans="1:22" ht="14" x14ac:dyDescent="0.15">
      <c r="A540" s="144"/>
      <c r="B540" s="144"/>
      <c r="C540" s="145"/>
      <c r="D540" s="145"/>
      <c r="E540" s="148"/>
      <c r="F540" s="147"/>
      <c r="G540" s="144"/>
      <c r="H540" s="144"/>
      <c r="I540" s="144"/>
      <c r="J540" s="145"/>
      <c r="K540" s="145"/>
      <c r="L540" s="148"/>
      <c r="M540" s="155"/>
      <c r="N540" s="144"/>
      <c r="O540" s="144"/>
      <c r="P540" s="144"/>
      <c r="Q540" s="145"/>
      <c r="R540" s="145"/>
      <c r="S540" s="154"/>
      <c r="T540" s="155"/>
      <c r="U540" s="144"/>
      <c r="V540" s="144"/>
    </row>
    <row r="541" spans="1:22" ht="14" x14ac:dyDescent="0.15">
      <c r="A541" s="144"/>
      <c r="B541" s="144"/>
      <c r="C541" s="145"/>
      <c r="D541" s="145"/>
      <c r="E541" s="148"/>
      <c r="F541" s="147"/>
      <c r="G541" s="144"/>
      <c r="H541" s="144"/>
      <c r="I541" s="144"/>
      <c r="J541" s="145"/>
      <c r="K541" s="145"/>
      <c r="L541" s="148"/>
      <c r="M541" s="155"/>
      <c r="N541" s="144"/>
      <c r="O541" s="144"/>
      <c r="P541" s="144"/>
      <c r="Q541" s="145"/>
      <c r="R541" s="145"/>
      <c r="S541" s="154"/>
      <c r="T541" s="155"/>
      <c r="U541" s="144"/>
      <c r="V541" s="144"/>
    </row>
    <row r="542" spans="1:22" ht="14" x14ac:dyDescent="0.15">
      <c r="A542" s="144"/>
      <c r="B542" s="144"/>
      <c r="C542" s="145"/>
      <c r="D542" s="145"/>
      <c r="E542" s="148"/>
      <c r="F542" s="147"/>
      <c r="G542" s="144"/>
      <c r="H542" s="144"/>
      <c r="I542" s="144"/>
      <c r="J542" s="145"/>
      <c r="K542" s="145"/>
      <c r="L542" s="148"/>
      <c r="M542" s="155"/>
      <c r="N542" s="144"/>
      <c r="O542" s="144"/>
      <c r="P542" s="144"/>
      <c r="Q542" s="145"/>
      <c r="R542" s="145"/>
      <c r="S542" s="154"/>
      <c r="T542" s="155"/>
      <c r="U542" s="144"/>
      <c r="V542" s="144"/>
    </row>
    <row r="543" spans="1:22" ht="14" x14ac:dyDescent="0.15">
      <c r="A543" s="144"/>
      <c r="B543" s="144"/>
      <c r="C543" s="145"/>
      <c r="D543" s="145"/>
      <c r="E543" s="148"/>
      <c r="F543" s="147"/>
      <c r="G543" s="144"/>
      <c r="H543" s="144"/>
      <c r="I543" s="144"/>
      <c r="J543" s="145"/>
      <c r="K543" s="145"/>
      <c r="L543" s="148"/>
      <c r="M543" s="155"/>
      <c r="N543" s="144"/>
      <c r="O543" s="144"/>
      <c r="P543" s="144"/>
      <c r="Q543" s="145"/>
      <c r="R543" s="145"/>
      <c r="S543" s="154"/>
      <c r="T543" s="155"/>
      <c r="U543" s="144"/>
      <c r="V543" s="144"/>
    </row>
    <row r="544" spans="1:22" ht="14" x14ac:dyDescent="0.15">
      <c r="A544" s="144"/>
      <c r="B544" s="144"/>
      <c r="C544" s="145"/>
      <c r="D544" s="145"/>
      <c r="E544" s="148"/>
      <c r="F544" s="147"/>
      <c r="G544" s="144"/>
      <c r="H544" s="144"/>
      <c r="I544" s="144"/>
      <c r="J544" s="145"/>
      <c r="K544" s="145"/>
      <c r="L544" s="148"/>
      <c r="M544" s="155"/>
      <c r="N544" s="144"/>
      <c r="O544" s="144"/>
      <c r="P544" s="144"/>
      <c r="Q544" s="145"/>
      <c r="R544" s="145"/>
      <c r="S544" s="154"/>
      <c r="T544" s="155"/>
      <c r="U544" s="144"/>
      <c r="V544" s="144"/>
    </row>
    <row r="545" spans="1:22" ht="14" x14ac:dyDescent="0.15">
      <c r="A545" s="144"/>
      <c r="B545" s="144"/>
      <c r="C545" s="145"/>
      <c r="D545" s="145"/>
      <c r="E545" s="148"/>
      <c r="F545" s="147"/>
      <c r="G545" s="144"/>
      <c r="H545" s="144"/>
      <c r="I545" s="144"/>
      <c r="J545" s="145"/>
      <c r="K545" s="145"/>
      <c r="L545" s="148"/>
      <c r="M545" s="155"/>
      <c r="N545" s="144"/>
      <c r="O545" s="144"/>
      <c r="P545" s="144"/>
      <c r="Q545" s="145"/>
      <c r="R545" s="145"/>
      <c r="S545" s="154"/>
      <c r="T545" s="155"/>
      <c r="U545" s="144"/>
      <c r="V545" s="144"/>
    </row>
    <row r="546" spans="1:22" ht="14" x14ac:dyDescent="0.15">
      <c r="A546" s="144"/>
      <c r="B546" s="144"/>
      <c r="C546" s="145"/>
      <c r="D546" s="145"/>
      <c r="E546" s="148"/>
      <c r="F546" s="147"/>
      <c r="G546" s="144"/>
      <c r="H546" s="144"/>
      <c r="I546" s="144"/>
      <c r="J546" s="145"/>
      <c r="K546" s="145"/>
      <c r="L546" s="148"/>
      <c r="M546" s="155"/>
      <c r="N546" s="144"/>
      <c r="O546" s="144"/>
      <c r="P546" s="144"/>
      <c r="Q546" s="145"/>
      <c r="R546" s="145"/>
      <c r="S546" s="154"/>
      <c r="T546" s="155"/>
      <c r="U546" s="144"/>
      <c r="V546" s="144"/>
    </row>
    <row r="547" spans="1:22" ht="14" x14ac:dyDescent="0.15">
      <c r="A547" s="144"/>
      <c r="B547" s="144"/>
      <c r="C547" s="145"/>
      <c r="D547" s="145"/>
      <c r="E547" s="148"/>
      <c r="F547" s="147"/>
      <c r="G547" s="144"/>
      <c r="H547" s="144"/>
      <c r="I547" s="144"/>
      <c r="J547" s="145"/>
      <c r="K547" s="145"/>
      <c r="L547" s="148"/>
      <c r="M547" s="155"/>
      <c r="N547" s="144"/>
      <c r="O547" s="144"/>
      <c r="P547" s="144"/>
      <c r="Q547" s="145"/>
      <c r="R547" s="145"/>
      <c r="S547" s="154"/>
      <c r="T547" s="155"/>
      <c r="U547" s="144"/>
      <c r="V547" s="144"/>
    </row>
    <row r="548" spans="1:22" ht="14" x14ac:dyDescent="0.15">
      <c r="A548" s="144"/>
      <c r="B548" s="144"/>
      <c r="C548" s="145"/>
      <c r="D548" s="145"/>
      <c r="E548" s="148"/>
      <c r="F548" s="147"/>
      <c r="G548" s="144"/>
      <c r="H548" s="144"/>
      <c r="I548" s="144"/>
      <c r="J548" s="145"/>
      <c r="K548" s="145"/>
      <c r="L548" s="148"/>
      <c r="M548" s="155"/>
      <c r="N548" s="144"/>
      <c r="O548" s="144"/>
      <c r="P548" s="144"/>
      <c r="Q548" s="145"/>
      <c r="R548" s="145"/>
      <c r="S548" s="154"/>
      <c r="T548" s="155"/>
      <c r="U548" s="144"/>
      <c r="V548" s="144"/>
    </row>
    <row r="549" spans="1:22" ht="14" x14ac:dyDescent="0.15">
      <c r="A549" s="144"/>
      <c r="B549" s="144"/>
      <c r="C549" s="145"/>
      <c r="D549" s="145"/>
      <c r="E549" s="148"/>
      <c r="F549" s="147"/>
      <c r="G549" s="144"/>
      <c r="H549" s="144"/>
      <c r="I549" s="144"/>
      <c r="J549" s="145"/>
      <c r="K549" s="145"/>
      <c r="L549" s="148"/>
      <c r="M549" s="155"/>
      <c r="N549" s="144"/>
      <c r="O549" s="144"/>
      <c r="P549" s="144"/>
      <c r="Q549" s="145"/>
      <c r="R549" s="145"/>
      <c r="S549" s="154"/>
      <c r="T549" s="155"/>
      <c r="U549" s="144"/>
      <c r="V549" s="144"/>
    </row>
    <row r="550" spans="1:22" ht="14" x14ac:dyDescent="0.15">
      <c r="A550" s="144"/>
      <c r="B550" s="144"/>
      <c r="C550" s="145"/>
      <c r="D550" s="145"/>
      <c r="E550" s="148"/>
      <c r="F550" s="147"/>
      <c r="G550" s="144"/>
      <c r="H550" s="144"/>
      <c r="I550" s="144"/>
      <c r="J550" s="145"/>
      <c r="K550" s="145"/>
      <c r="L550" s="148"/>
      <c r="M550" s="155"/>
      <c r="N550" s="144"/>
      <c r="O550" s="144"/>
      <c r="P550" s="144"/>
      <c r="Q550" s="145"/>
      <c r="R550" s="145"/>
      <c r="S550" s="154"/>
      <c r="T550" s="155"/>
      <c r="U550" s="144"/>
      <c r="V550" s="144"/>
    </row>
    <row r="551" spans="1:22" ht="14" x14ac:dyDescent="0.15">
      <c r="A551" s="144"/>
      <c r="B551" s="144"/>
      <c r="C551" s="145"/>
      <c r="D551" s="145"/>
      <c r="E551" s="148"/>
      <c r="F551" s="147"/>
      <c r="G551" s="144"/>
      <c r="H551" s="144"/>
      <c r="I551" s="144"/>
      <c r="J551" s="145"/>
      <c r="K551" s="145"/>
      <c r="L551" s="148"/>
      <c r="M551" s="155"/>
      <c r="N551" s="144"/>
      <c r="O551" s="144"/>
      <c r="P551" s="144"/>
      <c r="Q551" s="145"/>
      <c r="R551" s="145"/>
      <c r="S551" s="154"/>
      <c r="T551" s="155"/>
      <c r="U551" s="144"/>
      <c r="V551" s="144"/>
    </row>
    <row r="552" spans="1:22" ht="14" x14ac:dyDescent="0.15">
      <c r="A552" s="144"/>
      <c r="B552" s="144"/>
      <c r="C552" s="145"/>
      <c r="D552" s="145"/>
      <c r="E552" s="148"/>
      <c r="F552" s="147"/>
      <c r="G552" s="144"/>
      <c r="H552" s="144"/>
      <c r="I552" s="144"/>
      <c r="J552" s="145"/>
      <c r="K552" s="145"/>
      <c r="L552" s="148"/>
      <c r="M552" s="155"/>
      <c r="N552" s="144"/>
      <c r="O552" s="144"/>
      <c r="P552" s="144"/>
      <c r="Q552" s="145"/>
      <c r="R552" s="145"/>
      <c r="S552" s="154"/>
      <c r="T552" s="155"/>
      <c r="U552" s="144"/>
      <c r="V552" s="144"/>
    </row>
    <row r="553" spans="1:22" ht="14" x14ac:dyDescent="0.15">
      <c r="A553" s="144"/>
      <c r="B553" s="144"/>
      <c r="C553" s="145"/>
      <c r="D553" s="145"/>
      <c r="E553" s="148"/>
      <c r="F553" s="147"/>
      <c r="G553" s="144"/>
      <c r="H553" s="144"/>
      <c r="I553" s="144"/>
      <c r="J553" s="145"/>
      <c r="K553" s="145"/>
      <c r="L553" s="148"/>
      <c r="M553" s="155"/>
      <c r="N553" s="144"/>
      <c r="O553" s="144"/>
      <c r="P553" s="144"/>
      <c r="Q553" s="145"/>
      <c r="R553" s="145"/>
      <c r="S553" s="154"/>
      <c r="T553" s="155"/>
      <c r="U553" s="144"/>
      <c r="V553" s="144"/>
    </row>
    <row r="554" spans="1:22" ht="14" x14ac:dyDescent="0.15">
      <c r="A554" s="144"/>
      <c r="B554" s="144"/>
      <c r="C554" s="145"/>
      <c r="D554" s="145"/>
      <c r="E554" s="148"/>
      <c r="F554" s="147"/>
      <c r="G554" s="144"/>
      <c r="H554" s="144"/>
      <c r="I554" s="144"/>
      <c r="J554" s="145"/>
      <c r="K554" s="145"/>
      <c r="L554" s="148"/>
      <c r="M554" s="155"/>
      <c r="N554" s="144"/>
      <c r="O554" s="144"/>
      <c r="P554" s="144"/>
      <c r="Q554" s="145"/>
      <c r="R554" s="145"/>
      <c r="S554" s="154"/>
      <c r="T554" s="155"/>
      <c r="U554" s="144"/>
      <c r="V554" s="144"/>
    </row>
    <row r="555" spans="1:22" ht="14" x14ac:dyDescent="0.15">
      <c r="A555" s="144"/>
      <c r="B555" s="144"/>
      <c r="C555" s="145"/>
      <c r="D555" s="145"/>
      <c r="E555" s="148"/>
      <c r="F555" s="147"/>
      <c r="G555" s="144"/>
      <c r="H555" s="144"/>
      <c r="I555" s="144"/>
      <c r="J555" s="145"/>
      <c r="K555" s="145"/>
      <c r="L555" s="148"/>
      <c r="M555" s="155"/>
      <c r="N555" s="144"/>
      <c r="O555" s="144"/>
      <c r="P555" s="144"/>
      <c r="Q555" s="145"/>
      <c r="R555" s="145"/>
      <c r="S555" s="154"/>
      <c r="T555" s="155"/>
      <c r="U555" s="144"/>
      <c r="V555" s="144"/>
    </row>
    <row r="556" spans="1:22" ht="14" x14ac:dyDescent="0.15">
      <c r="A556" s="144"/>
      <c r="B556" s="144"/>
      <c r="C556" s="145"/>
      <c r="D556" s="145"/>
      <c r="E556" s="148"/>
      <c r="F556" s="147"/>
      <c r="G556" s="144"/>
      <c r="H556" s="144"/>
      <c r="I556" s="144"/>
      <c r="J556" s="145"/>
      <c r="K556" s="145"/>
      <c r="L556" s="148"/>
      <c r="M556" s="155"/>
      <c r="N556" s="144"/>
      <c r="O556" s="144"/>
      <c r="P556" s="144"/>
      <c r="Q556" s="145"/>
      <c r="R556" s="145"/>
      <c r="S556" s="154"/>
      <c r="T556" s="155"/>
      <c r="U556" s="144"/>
      <c r="V556" s="144"/>
    </row>
    <row r="557" spans="1:22" ht="14" x14ac:dyDescent="0.15">
      <c r="A557" s="144"/>
      <c r="B557" s="144"/>
      <c r="C557" s="145"/>
      <c r="D557" s="145"/>
      <c r="E557" s="148"/>
      <c r="F557" s="147"/>
      <c r="G557" s="144"/>
      <c r="H557" s="144"/>
      <c r="I557" s="144"/>
      <c r="J557" s="145"/>
      <c r="K557" s="145"/>
      <c r="L557" s="148"/>
      <c r="M557" s="155"/>
      <c r="N557" s="144"/>
      <c r="O557" s="144"/>
      <c r="P557" s="144"/>
      <c r="Q557" s="145"/>
      <c r="R557" s="145"/>
      <c r="S557" s="154"/>
      <c r="T557" s="155"/>
      <c r="U557" s="144"/>
      <c r="V557" s="144"/>
    </row>
    <row r="558" spans="1:22" ht="14" x14ac:dyDescent="0.15">
      <c r="A558" s="144"/>
      <c r="B558" s="144"/>
      <c r="C558" s="145"/>
      <c r="D558" s="145"/>
      <c r="E558" s="148"/>
      <c r="F558" s="147"/>
      <c r="G558" s="144"/>
      <c r="H558" s="144"/>
      <c r="I558" s="144"/>
      <c r="J558" s="145"/>
      <c r="K558" s="145"/>
      <c r="L558" s="148"/>
      <c r="M558" s="155"/>
      <c r="N558" s="144"/>
      <c r="O558" s="144"/>
      <c r="P558" s="144"/>
      <c r="Q558" s="145"/>
      <c r="R558" s="145"/>
      <c r="S558" s="154"/>
      <c r="T558" s="155"/>
      <c r="U558" s="144"/>
      <c r="V558" s="144"/>
    </row>
    <row r="559" spans="1:22" ht="14" x14ac:dyDescent="0.15">
      <c r="A559" s="144"/>
      <c r="B559" s="144"/>
      <c r="C559" s="145"/>
      <c r="D559" s="145"/>
      <c r="E559" s="148"/>
      <c r="F559" s="147"/>
      <c r="G559" s="144"/>
      <c r="H559" s="144"/>
      <c r="I559" s="144"/>
      <c r="J559" s="145"/>
      <c r="K559" s="145"/>
      <c r="L559" s="148"/>
      <c r="M559" s="155"/>
      <c r="N559" s="144"/>
      <c r="O559" s="144"/>
      <c r="P559" s="144"/>
      <c r="Q559" s="145"/>
      <c r="R559" s="145"/>
      <c r="S559" s="154"/>
      <c r="T559" s="155"/>
      <c r="U559" s="144"/>
      <c r="V559" s="144"/>
    </row>
    <row r="560" spans="1:22" ht="14" x14ac:dyDescent="0.15">
      <c r="A560" s="144"/>
      <c r="B560" s="144"/>
      <c r="C560" s="145"/>
      <c r="D560" s="145"/>
      <c r="E560" s="148"/>
      <c r="F560" s="147"/>
      <c r="G560" s="144"/>
      <c r="H560" s="144"/>
      <c r="I560" s="144"/>
      <c r="J560" s="145"/>
      <c r="K560" s="145"/>
      <c r="L560" s="148"/>
      <c r="M560" s="155"/>
      <c r="N560" s="144"/>
      <c r="O560" s="144"/>
      <c r="P560" s="144"/>
      <c r="Q560" s="145"/>
      <c r="R560" s="145"/>
      <c r="S560" s="154"/>
      <c r="T560" s="155"/>
      <c r="U560" s="144"/>
      <c r="V560" s="144"/>
    </row>
    <row r="561" spans="1:22" ht="14" x14ac:dyDescent="0.15">
      <c r="A561" s="144"/>
      <c r="B561" s="144"/>
      <c r="C561" s="145"/>
      <c r="D561" s="145"/>
      <c r="E561" s="148"/>
      <c r="F561" s="147"/>
      <c r="G561" s="144"/>
      <c r="H561" s="144"/>
      <c r="I561" s="144"/>
      <c r="J561" s="145"/>
      <c r="K561" s="145"/>
      <c r="L561" s="148"/>
      <c r="M561" s="155"/>
      <c r="N561" s="144"/>
      <c r="O561" s="144"/>
      <c r="P561" s="144"/>
      <c r="Q561" s="145"/>
      <c r="R561" s="145"/>
      <c r="S561" s="154"/>
      <c r="T561" s="155"/>
      <c r="U561" s="144"/>
      <c r="V561" s="144"/>
    </row>
    <row r="562" spans="1:22" ht="14" x14ac:dyDescent="0.15">
      <c r="A562" s="144"/>
      <c r="B562" s="144"/>
      <c r="C562" s="145"/>
      <c r="D562" s="145"/>
      <c r="E562" s="148"/>
      <c r="F562" s="147"/>
      <c r="G562" s="144"/>
      <c r="H562" s="144"/>
      <c r="I562" s="144"/>
      <c r="J562" s="145"/>
      <c r="K562" s="145"/>
      <c r="L562" s="148"/>
      <c r="M562" s="155"/>
      <c r="N562" s="144"/>
      <c r="O562" s="144"/>
      <c r="P562" s="144"/>
      <c r="Q562" s="145"/>
      <c r="R562" s="145"/>
      <c r="S562" s="154"/>
      <c r="T562" s="155"/>
      <c r="U562" s="144"/>
      <c r="V562" s="144"/>
    </row>
    <row r="563" spans="1:22" ht="14" x14ac:dyDescent="0.15">
      <c r="A563" s="144"/>
      <c r="B563" s="144"/>
      <c r="C563" s="145"/>
      <c r="D563" s="145"/>
      <c r="E563" s="148"/>
      <c r="F563" s="147"/>
      <c r="G563" s="144"/>
      <c r="H563" s="144"/>
      <c r="I563" s="144"/>
      <c r="J563" s="145"/>
      <c r="K563" s="145"/>
      <c r="L563" s="148"/>
      <c r="M563" s="155"/>
      <c r="N563" s="144"/>
      <c r="O563" s="144"/>
      <c r="P563" s="144"/>
      <c r="Q563" s="145"/>
      <c r="R563" s="145"/>
      <c r="S563" s="154"/>
      <c r="T563" s="155"/>
      <c r="U563" s="144"/>
      <c r="V563" s="144"/>
    </row>
    <row r="564" spans="1:22" ht="14" x14ac:dyDescent="0.15">
      <c r="A564" s="144"/>
      <c r="B564" s="144"/>
      <c r="C564" s="145"/>
      <c r="D564" s="145"/>
      <c r="E564" s="148"/>
      <c r="F564" s="147"/>
      <c r="G564" s="144"/>
      <c r="H564" s="144"/>
      <c r="I564" s="144"/>
      <c r="J564" s="145"/>
      <c r="K564" s="145"/>
      <c r="L564" s="148"/>
      <c r="M564" s="155"/>
      <c r="N564" s="144"/>
      <c r="O564" s="144"/>
      <c r="P564" s="144"/>
      <c r="Q564" s="145"/>
      <c r="R564" s="145"/>
      <c r="S564" s="154"/>
      <c r="T564" s="155"/>
      <c r="U564" s="144"/>
      <c r="V564" s="144"/>
    </row>
    <row r="565" spans="1:22" ht="14" x14ac:dyDescent="0.15">
      <c r="A565" s="144"/>
      <c r="B565" s="144"/>
      <c r="C565" s="145"/>
      <c r="D565" s="145"/>
      <c r="E565" s="148"/>
      <c r="F565" s="147"/>
      <c r="G565" s="144"/>
      <c r="H565" s="144"/>
      <c r="I565" s="144"/>
      <c r="J565" s="145"/>
      <c r="K565" s="145"/>
      <c r="L565" s="148"/>
      <c r="M565" s="155"/>
      <c r="N565" s="144"/>
      <c r="O565" s="144"/>
      <c r="P565" s="144"/>
      <c r="Q565" s="145"/>
      <c r="R565" s="145"/>
      <c r="S565" s="154"/>
      <c r="T565" s="155"/>
      <c r="U565" s="144"/>
      <c r="V565" s="144"/>
    </row>
    <row r="566" spans="1:22" ht="14" x14ac:dyDescent="0.15">
      <c r="A566" s="144"/>
      <c r="B566" s="144"/>
      <c r="C566" s="145"/>
      <c r="D566" s="145"/>
      <c r="E566" s="148"/>
      <c r="F566" s="147"/>
      <c r="G566" s="144"/>
      <c r="H566" s="144"/>
      <c r="I566" s="144"/>
      <c r="J566" s="145"/>
      <c r="K566" s="145"/>
      <c r="L566" s="148"/>
      <c r="M566" s="155"/>
      <c r="N566" s="144"/>
      <c r="O566" s="144"/>
      <c r="P566" s="144"/>
      <c r="Q566" s="145"/>
      <c r="R566" s="145"/>
      <c r="S566" s="154"/>
      <c r="T566" s="155"/>
      <c r="U566" s="144"/>
      <c r="V566" s="144"/>
    </row>
    <row r="567" spans="1:22" ht="14" x14ac:dyDescent="0.15">
      <c r="A567" s="144"/>
      <c r="B567" s="144"/>
      <c r="C567" s="145"/>
      <c r="D567" s="145"/>
      <c r="E567" s="148"/>
      <c r="F567" s="147"/>
      <c r="G567" s="144"/>
      <c r="H567" s="144"/>
      <c r="I567" s="144"/>
      <c r="J567" s="145"/>
      <c r="K567" s="145"/>
      <c r="L567" s="148"/>
      <c r="M567" s="155"/>
      <c r="N567" s="144"/>
      <c r="O567" s="144"/>
      <c r="P567" s="144"/>
      <c r="Q567" s="145"/>
      <c r="R567" s="145"/>
      <c r="S567" s="154"/>
      <c r="T567" s="155"/>
      <c r="U567" s="144"/>
      <c r="V567" s="144"/>
    </row>
    <row r="568" spans="1:22" ht="14" x14ac:dyDescent="0.15">
      <c r="A568" s="144"/>
      <c r="B568" s="144"/>
      <c r="C568" s="145"/>
      <c r="D568" s="145"/>
      <c r="E568" s="148"/>
      <c r="F568" s="147"/>
      <c r="G568" s="144"/>
      <c r="H568" s="144"/>
      <c r="I568" s="144"/>
      <c r="J568" s="145"/>
      <c r="K568" s="145"/>
      <c r="L568" s="148"/>
      <c r="M568" s="155"/>
      <c r="N568" s="144"/>
      <c r="O568" s="144"/>
      <c r="P568" s="144"/>
      <c r="Q568" s="145"/>
      <c r="R568" s="145"/>
      <c r="S568" s="154"/>
      <c r="T568" s="155"/>
      <c r="U568" s="144"/>
      <c r="V568" s="144"/>
    </row>
    <row r="569" spans="1:22" ht="14" x14ac:dyDescent="0.15">
      <c r="A569" s="144"/>
      <c r="B569" s="144"/>
      <c r="C569" s="145"/>
      <c r="D569" s="145"/>
      <c r="E569" s="148"/>
      <c r="F569" s="147"/>
      <c r="G569" s="144"/>
      <c r="H569" s="144"/>
      <c r="I569" s="144"/>
      <c r="J569" s="145"/>
      <c r="K569" s="145"/>
      <c r="L569" s="148"/>
      <c r="M569" s="155"/>
      <c r="N569" s="144"/>
      <c r="O569" s="144"/>
      <c r="P569" s="144"/>
      <c r="Q569" s="145"/>
      <c r="R569" s="145"/>
      <c r="S569" s="154"/>
      <c r="T569" s="155"/>
      <c r="U569" s="144"/>
      <c r="V569" s="144"/>
    </row>
    <row r="570" spans="1:22" ht="14" x14ac:dyDescent="0.15">
      <c r="A570" s="144"/>
      <c r="B570" s="144"/>
      <c r="C570" s="145"/>
      <c r="D570" s="145"/>
      <c r="E570" s="148"/>
      <c r="F570" s="147"/>
      <c r="G570" s="144"/>
      <c r="H570" s="144"/>
      <c r="I570" s="144"/>
      <c r="J570" s="145"/>
      <c r="K570" s="145"/>
      <c r="L570" s="148"/>
      <c r="M570" s="155"/>
      <c r="N570" s="144"/>
      <c r="O570" s="144"/>
      <c r="P570" s="144"/>
      <c r="Q570" s="145"/>
      <c r="R570" s="145"/>
      <c r="S570" s="154"/>
      <c r="T570" s="155"/>
      <c r="U570" s="144"/>
      <c r="V570" s="144"/>
    </row>
    <row r="571" spans="1:22" ht="14" x14ac:dyDescent="0.15">
      <c r="A571" s="144"/>
      <c r="B571" s="144"/>
      <c r="C571" s="145"/>
      <c r="D571" s="145"/>
      <c r="E571" s="148"/>
      <c r="F571" s="147"/>
      <c r="G571" s="144"/>
      <c r="H571" s="144"/>
      <c r="I571" s="144"/>
      <c r="J571" s="145"/>
      <c r="K571" s="145"/>
      <c r="L571" s="148"/>
      <c r="M571" s="155"/>
      <c r="N571" s="144"/>
      <c r="O571" s="144"/>
      <c r="P571" s="144"/>
      <c r="Q571" s="145"/>
      <c r="R571" s="145"/>
      <c r="S571" s="154"/>
      <c r="T571" s="155"/>
      <c r="U571" s="144"/>
      <c r="V571" s="144"/>
    </row>
    <row r="572" spans="1:22" ht="14" x14ac:dyDescent="0.15">
      <c r="A572" s="144"/>
      <c r="B572" s="144"/>
      <c r="C572" s="145"/>
      <c r="D572" s="145"/>
      <c r="E572" s="148"/>
      <c r="F572" s="147"/>
      <c r="G572" s="144"/>
      <c r="H572" s="144"/>
      <c r="I572" s="144"/>
      <c r="J572" s="145"/>
      <c r="K572" s="145"/>
      <c r="L572" s="148"/>
      <c r="M572" s="155"/>
      <c r="N572" s="144"/>
      <c r="O572" s="144"/>
      <c r="P572" s="144"/>
      <c r="Q572" s="145"/>
      <c r="R572" s="145"/>
      <c r="S572" s="154"/>
      <c r="T572" s="155"/>
      <c r="U572" s="144"/>
      <c r="V572" s="144"/>
    </row>
    <row r="573" spans="1:22" ht="14" x14ac:dyDescent="0.15">
      <c r="A573" s="144"/>
      <c r="B573" s="144"/>
      <c r="C573" s="145"/>
      <c r="D573" s="145"/>
      <c r="E573" s="148"/>
      <c r="F573" s="147"/>
      <c r="G573" s="144"/>
      <c r="H573" s="144"/>
      <c r="I573" s="144"/>
      <c r="J573" s="145"/>
      <c r="K573" s="145"/>
      <c r="L573" s="148"/>
      <c r="M573" s="155"/>
      <c r="N573" s="144"/>
      <c r="O573" s="144"/>
      <c r="P573" s="144"/>
      <c r="Q573" s="145"/>
      <c r="R573" s="145"/>
      <c r="S573" s="154"/>
      <c r="T573" s="155"/>
      <c r="U573" s="144"/>
      <c r="V573" s="144"/>
    </row>
    <row r="574" spans="1:22" ht="14" x14ac:dyDescent="0.15">
      <c r="A574" s="144"/>
      <c r="B574" s="144"/>
      <c r="C574" s="145"/>
      <c r="D574" s="145"/>
      <c r="E574" s="148"/>
      <c r="F574" s="147"/>
      <c r="G574" s="144"/>
      <c r="H574" s="144"/>
      <c r="I574" s="144"/>
      <c r="J574" s="145"/>
      <c r="K574" s="145"/>
      <c r="L574" s="148"/>
      <c r="M574" s="155"/>
      <c r="N574" s="144"/>
      <c r="O574" s="144"/>
      <c r="P574" s="144"/>
      <c r="Q574" s="145"/>
      <c r="R574" s="145"/>
      <c r="S574" s="154"/>
      <c r="T574" s="155"/>
      <c r="U574" s="144"/>
      <c r="V574" s="144"/>
    </row>
    <row r="575" spans="1:22" ht="14" x14ac:dyDescent="0.15">
      <c r="A575" s="144"/>
      <c r="B575" s="144"/>
      <c r="C575" s="145"/>
      <c r="D575" s="145"/>
      <c r="E575" s="148"/>
      <c r="F575" s="147"/>
      <c r="G575" s="144"/>
      <c r="H575" s="144"/>
      <c r="I575" s="144"/>
      <c r="J575" s="145"/>
      <c r="K575" s="145"/>
      <c r="L575" s="148"/>
      <c r="M575" s="155"/>
      <c r="N575" s="144"/>
      <c r="O575" s="144"/>
      <c r="P575" s="144"/>
      <c r="Q575" s="145"/>
      <c r="R575" s="145"/>
      <c r="S575" s="154"/>
      <c r="T575" s="155"/>
      <c r="U575" s="144"/>
      <c r="V575" s="144"/>
    </row>
    <row r="576" spans="1:22" ht="14" x14ac:dyDescent="0.15">
      <c r="A576" s="144"/>
      <c r="B576" s="144"/>
      <c r="C576" s="145"/>
      <c r="D576" s="145"/>
      <c r="E576" s="148"/>
      <c r="F576" s="147"/>
      <c r="G576" s="144"/>
      <c r="H576" s="144"/>
      <c r="I576" s="144"/>
      <c r="J576" s="145"/>
      <c r="K576" s="145"/>
      <c r="L576" s="148"/>
      <c r="M576" s="155"/>
      <c r="N576" s="144"/>
      <c r="O576" s="144"/>
      <c r="P576" s="144"/>
      <c r="Q576" s="145"/>
      <c r="R576" s="145"/>
      <c r="S576" s="154"/>
      <c r="T576" s="155"/>
      <c r="U576" s="144"/>
      <c r="V576" s="144"/>
    </row>
    <row r="577" spans="1:22" ht="14" x14ac:dyDescent="0.15">
      <c r="A577" s="144"/>
      <c r="B577" s="144"/>
      <c r="C577" s="145"/>
      <c r="D577" s="145"/>
      <c r="E577" s="148"/>
      <c r="F577" s="147"/>
      <c r="G577" s="144"/>
      <c r="H577" s="144"/>
      <c r="I577" s="144"/>
      <c r="J577" s="145"/>
      <c r="K577" s="145"/>
      <c r="L577" s="148"/>
      <c r="M577" s="155"/>
      <c r="N577" s="144"/>
      <c r="O577" s="144"/>
      <c r="P577" s="144"/>
      <c r="Q577" s="145"/>
      <c r="R577" s="145"/>
      <c r="S577" s="154"/>
      <c r="T577" s="155"/>
      <c r="U577" s="144"/>
      <c r="V577" s="144"/>
    </row>
    <row r="578" spans="1:22" ht="14" x14ac:dyDescent="0.15">
      <c r="A578" s="144"/>
      <c r="B578" s="144"/>
      <c r="C578" s="145"/>
      <c r="D578" s="145"/>
      <c r="E578" s="148"/>
      <c r="F578" s="147"/>
      <c r="G578" s="144"/>
      <c r="H578" s="144"/>
      <c r="I578" s="144"/>
      <c r="J578" s="145"/>
      <c r="K578" s="145"/>
      <c r="L578" s="148"/>
      <c r="M578" s="155"/>
      <c r="N578" s="144"/>
      <c r="O578" s="144"/>
      <c r="P578" s="144"/>
      <c r="Q578" s="145"/>
      <c r="R578" s="145"/>
      <c r="S578" s="154"/>
      <c r="T578" s="155"/>
      <c r="U578" s="144"/>
      <c r="V578" s="144"/>
    </row>
    <row r="579" spans="1:22" ht="14" x14ac:dyDescent="0.15">
      <c r="A579" s="144"/>
      <c r="B579" s="144"/>
      <c r="C579" s="145"/>
      <c r="D579" s="145"/>
      <c r="E579" s="148"/>
      <c r="F579" s="147"/>
      <c r="G579" s="144"/>
      <c r="H579" s="144"/>
      <c r="I579" s="144"/>
      <c r="J579" s="145"/>
      <c r="K579" s="145"/>
      <c r="L579" s="148"/>
      <c r="M579" s="155"/>
      <c r="N579" s="144"/>
      <c r="O579" s="144"/>
      <c r="P579" s="144"/>
      <c r="Q579" s="145"/>
      <c r="R579" s="145"/>
      <c r="S579" s="154"/>
      <c r="T579" s="155"/>
      <c r="U579" s="144"/>
      <c r="V579" s="144"/>
    </row>
    <row r="580" spans="1:22" ht="14" x14ac:dyDescent="0.15">
      <c r="A580" s="144"/>
      <c r="B580" s="144"/>
      <c r="C580" s="145"/>
      <c r="D580" s="145"/>
      <c r="E580" s="148"/>
      <c r="F580" s="147"/>
      <c r="G580" s="144"/>
      <c r="H580" s="144"/>
      <c r="I580" s="144"/>
      <c r="J580" s="145"/>
      <c r="K580" s="145"/>
      <c r="L580" s="148"/>
      <c r="M580" s="155"/>
      <c r="N580" s="144"/>
      <c r="O580" s="144"/>
      <c r="P580" s="144"/>
      <c r="Q580" s="145"/>
      <c r="R580" s="145"/>
      <c r="S580" s="154"/>
      <c r="T580" s="155"/>
      <c r="U580" s="144"/>
      <c r="V580" s="144"/>
    </row>
    <row r="581" spans="1:22" ht="14" x14ac:dyDescent="0.15">
      <c r="A581" s="144"/>
      <c r="B581" s="144"/>
      <c r="C581" s="145"/>
      <c r="D581" s="145"/>
      <c r="E581" s="148"/>
      <c r="F581" s="147"/>
      <c r="G581" s="144"/>
      <c r="H581" s="144"/>
      <c r="I581" s="144"/>
      <c r="J581" s="145"/>
      <c r="K581" s="145"/>
      <c r="L581" s="148"/>
      <c r="M581" s="155"/>
      <c r="N581" s="144"/>
      <c r="O581" s="144"/>
      <c r="P581" s="144"/>
      <c r="Q581" s="145"/>
      <c r="R581" s="145"/>
      <c r="S581" s="154"/>
      <c r="T581" s="155"/>
      <c r="U581" s="144"/>
      <c r="V581" s="144"/>
    </row>
    <row r="582" spans="1:22" ht="14" x14ac:dyDescent="0.15">
      <c r="A582" s="144"/>
      <c r="B582" s="144"/>
      <c r="C582" s="145"/>
      <c r="D582" s="145"/>
      <c r="E582" s="148"/>
      <c r="F582" s="147"/>
      <c r="G582" s="144"/>
      <c r="H582" s="144"/>
      <c r="I582" s="144"/>
      <c r="J582" s="145"/>
      <c r="K582" s="145"/>
      <c r="L582" s="148"/>
      <c r="M582" s="155"/>
      <c r="N582" s="144"/>
      <c r="O582" s="144"/>
      <c r="P582" s="144"/>
      <c r="Q582" s="145"/>
      <c r="R582" s="145"/>
      <c r="S582" s="154"/>
      <c r="T582" s="155"/>
      <c r="U582" s="144"/>
      <c r="V582" s="144"/>
    </row>
    <row r="583" spans="1:22" ht="14" x14ac:dyDescent="0.15">
      <c r="A583" s="144"/>
      <c r="B583" s="144"/>
      <c r="C583" s="145"/>
      <c r="D583" s="145"/>
      <c r="E583" s="148"/>
      <c r="F583" s="147"/>
      <c r="G583" s="144"/>
      <c r="H583" s="144"/>
      <c r="I583" s="144"/>
      <c r="J583" s="145"/>
      <c r="K583" s="145"/>
      <c r="L583" s="148"/>
      <c r="M583" s="155"/>
      <c r="N583" s="144"/>
      <c r="O583" s="144"/>
      <c r="P583" s="144"/>
      <c r="Q583" s="145"/>
      <c r="R583" s="145"/>
      <c r="S583" s="154"/>
      <c r="T583" s="155"/>
      <c r="U583" s="144"/>
      <c r="V583" s="144"/>
    </row>
    <row r="584" spans="1:22" ht="14" x14ac:dyDescent="0.15">
      <c r="A584" s="144"/>
      <c r="B584" s="144"/>
      <c r="C584" s="145"/>
      <c r="D584" s="145"/>
      <c r="E584" s="148"/>
      <c r="F584" s="147"/>
      <c r="G584" s="144"/>
      <c r="H584" s="144"/>
      <c r="I584" s="144"/>
      <c r="J584" s="145"/>
      <c r="K584" s="145"/>
      <c r="L584" s="148"/>
      <c r="M584" s="155"/>
      <c r="N584" s="144"/>
      <c r="O584" s="144"/>
      <c r="P584" s="144"/>
      <c r="Q584" s="145"/>
      <c r="R584" s="145"/>
      <c r="S584" s="154"/>
      <c r="T584" s="155"/>
      <c r="U584" s="144"/>
      <c r="V584" s="144"/>
    </row>
    <row r="585" spans="1:22" ht="14" x14ac:dyDescent="0.15">
      <c r="A585" s="144"/>
      <c r="B585" s="144"/>
      <c r="C585" s="145"/>
      <c r="D585" s="145"/>
      <c r="E585" s="148"/>
      <c r="F585" s="147"/>
      <c r="G585" s="144"/>
      <c r="H585" s="144"/>
      <c r="I585" s="144"/>
      <c r="J585" s="145"/>
      <c r="K585" s="145"/>
      <c r="L585" s="148"/>
      <c r="M585" s="155"/>
      <c r="N585" s="144"/>
      <c r="O585" s="144"/>
      <c r="P585" s="144"/>
      <c r="Q585" s="145"/>
      <c r="R585" s="145"/>
      <c r="S585" s="154"/>
      <c r="T585" s="155"/>
      <c r="U585" s="144"/>
      <c r="V585" s="144"/>
    </row>
    <row r="586" spans="1:22" ht="14" x14ac:dyDescent="0.15">
      <c r="A586" s="144"/>
      <c r="B586" s="144"/>
      <c r="C586" s="145"/>
      <c r="D586" s="145"/>
      <c r="E586" s="148"/>
      <c r="F586" s="147"/>
      <c r="G586" s="144"/>
      <c r="H586" s="144"/>
      <c r="I586" s="144"/>
      <c r="J586" s="145"/>
      <c r="K586" s="145"/>
      <c r="L586" s="148"/>
      <c r="M586" s="155"/>
      <c r="N586" s="144"/>
      <c r="O586" s="144"/>
      <c r="P586" s="144"/>
      <c r="Q586" s="145"/>
      <c r="R586" s="145"/>
      <c r="S586" s="154"/>
      <c r="T586" s="155"/>
      <c r="U586" s="144"/>
      <c r="V586" s="144"/>
    </row>
    <row r="587" spans="1:22" ht="14" x14ac:dyDescent="0.15">
      <c r="A587" s="144"/>
      <c r="B587" s="144"/>
      <c r="C587" s="145"/>
      <c r="D587" s="145"/>
      <c r="E587" s="148"/>
      <c r="F587" s="147"/>
      <c r="G587" s="144"/>
      <c r="H587" s="144"/>
      <c r="I587" s="144"/>
      <c r="J587" s="145"/>
      <c r="K587" s="145"/>
      <c r="L587" s="148"/>
      <c r="M587" s="155"/>
      <c r="N587" s="144"/>
      <c r="O587" s="144"/>
      <c r="P587" s="144"/>
      <c r="Q587" s="145"/>
      <c r="R587" s="145"/>
      <c r="S587" s="154"/>
      <c r="T587" s="155"/>
      <c r="U587" s="144"/>
      <c r="V587" s="144"/>
    </row>
    <row r="588" spans="1:22" ht="14" x14ac:dyDescent="0.15">
      <c r="A588" s="144"/>
      <c r="B588" s="144"/>
      <c r="C588" s="145"/>
      <c r="D588" s="145"/>
      <c r="E588" s="148"/>
      <c r="F588" s="147"/>
      <c r="G588" s="144"/>
      <c r="H588" s="144"/>
      <c r="I588" s="144"/>
      <c r="J588" s="145"/>
      <c r="K588" s="145"/>
      <c r="L588" s="148"/>
      <c r="M588" s="155"/>
      <c r="N588" s="144"/>
      <c r="O588" s="144"/>
      <c r="P588" s="144"/>
      <c r="Q588" s="145"/>
      <c r="R588" s="145"/>
      <c r="S588" s="154"/>
      <c r="T588" s="155"/>
      <c r="U588" s="144"/>
      <c r="V588" s="144"/>
    </row>
    <row r="589" spans="1:22" ht="14" x14ac:dyDescent="0.15">
      <c r="A589" s="144"/>
      <c r="B589" s="144"/>
      <c r="C589" s="145"/>
      <c r="D589" s="145"/>
      <c r="E589" s="148"/>
      <c r="F589" s="147"/>
      <c r="G589" s="144"/>
      <c r="H589" s="144"/>
      <c r="I589" s="144"/>
      <c r="J589" s="145"/>
      <c r="K589" s="145"/>
      <c r="L589" s="148"/>
      <c r="M589" s="155"/>
      <c r="N589" s="144"/>
      <c r="O589" s="144"/>
      <c r="P589" s="144"/>
      <c r="Q589" s="145"/>
      <c r="R589" s="145"/>
      <c r="S589" s="154"/>
      <c r="T589" s="155"/>
      <c r="U589" s="144"/>
      <c r="V589" s="144"/>
    </row>
    <row r="590" spans="1:22" ht="14" x14ac:dyDescent="0.15">
      <c r="A590" s="144"/>
      <c r="B590" s="144"/>
      <c r="C590" s="145"/>
      <c r="D590" s="145"/>
      <c r="E590" s="148"/>
      <c r="F590" s="147"/>
      <c r="G590" s="144"/>
      <c r="H590" s="144"/>
      <c r="I590" s="144"/>
      <c r="J590" s="145"/>
      <c r="K590" s="145"/>
      <c r="L590" s="148"/>
      <c r="M590" s="155"/>
      <c r="N590" s="144"/>
      <c r="O590" s="144"/>
      <c r="P590" s="144"/>
      <c r="Q590" s="145"/>
      <c r="R590" s="145"/>
      <c r="S590" s="154"/>
      <c r="T590" s="155"/>
      <c r="U590" s="144"/>
      <c r="V590" s="144"/>
    </row>
    <row r="591" spans="1:22" ht="14" x14ac:dyDescent="0.15">
      <c r="A591" s="144"/>
      <c r="B591" s="144"/>
      <c r="C591" s="145"/>
      <c r="D591" s="145"/>
      <c r="E591" s="148"/>
      <c r="F591" s="147"/>
      <c r="G591" s="144"/>
      <c r="H591" s="144"/>
      <c r="I591" s="144"/>
      <c r="J591" s="145"/>
      <c r="K591" s="145"/>
      <c r="L591" s="148"/>
      <c r="M591" s="155"/>
      <c r="N591" s="144"/>
      <c r="O591" s="144"/>
      <c r="P591" s="144"/>
      <c r="Q591" s="145"/>
      <c r="R591" s="145"/>
      <c r="S591" s="154"/>
      <c r="T591" s="155"/>
      <c r="U591" s="144"/>
      <c r="V591" s="144"/>
    </row>
    <row r="592" spans="1:22" ht="14" x14ac:dyDescent="0.15">
      <c r="A592" s="144"/>
      <c r="B592" s="144"/>
      <c r="C592" s="145"/>
      <c r="D592" s="145"/>
      <c r="E592" s="148"/>
      <c r="F592" s="147"/>
      <c r="G592" s="144"/>
      <c r="H592" s="144"/>
      <c r="I592" s="144"/>
      <c r="J592" s="145"/>
      <c r="K592" s="145"/>
      <c r="L592" s="148"/>
      <c r="M592" s="155"/>
      <c r="N592" s="144"/>
      <c r="O592" s="144"/>
      <c r="P592" s="144"/>
      <c r="Q592" s="145"/>
      <c r="R592" s="145"/>
      <c r="S592" s="154"/>
      <c r="T592" s="155"/>
      <c r="U592" s="144"/>
      <c r="V592" s="144"/>
    </row>
    <row r="593" spans="1:22" ht="14" x14ac:dyDescent="0.15">
      <c r="A593" s="144"/>
      <c r="B593" s="144"/>
      <c r="C593" s="145"/>
      <c r="D593" s="145"/>
      <c r="E593" s="148"/>
      <c r="F593" s="147"/>
      <c r="G593" s="144"/>
      <c r="H593" s="144"/>
      <c r="I593" s="144"/>
      <c r="J593" s="145"/>
      <c r="K593" s="145"/>
      <c r="L593" s="148"/>
      <c r="M593" s="155"/>
      <c r="N593" s="144"/>
      <c r="O593" s="144"/>
      <c r="P593" s="144"/>
      <c r="Q593" s="145"/>
      <c r="R593" s="145"/>
      <c r="S593" s="154"/>
      <c r="T593" s="155"/>
      <c r="U593" s="144"/>
      <c r="V593" s="144"/>
    </row>
    <row r="594" spans="1:22" ht="14" x14ac:dyDescent="0.15">
      <c r="A594" s="144"/>
      <c r="B594" s="144"/>
      <c r="C594" s="145"/>
      <c r="D594" s="145"/>
      <c r="E594" s="148"/>
      <c r="F594" s="147"/>
      <c r="G594" s="144"/>
      <c r="H594" s="144"/>
      <c r="I594" s="144"/>
      <c r="J594" s="145"/>
      <c r="K594" s="145"/>
      <c r="L594" s="148"/>
      <c r="M594" s="155"/>
      <c r="N594" s="144"/>
      <c r="O594" s="144"/>
      <c r="P594" s="144"/>
      <c r="Q594" s="145"/>
      <c r="R594" s="145"/>
      <c r="S594" s="154"/>
      <c r="T594" s="155"/>
      <c r="U594" s="144"/>
      <c r="V594" s="144"/>
    </row>
    <row r="595" spans="1:22" ht="14" x14ac:dyDescent="0.15">
      <c r="A595" s="144"/>
      <c r="B595" s="144"/>
      <c r="C595" s="145"/>
      <c r="D595" s="145"/>
      <c r="E595" s="148"/>
      <c r="F595" s="147"/>
      <c r="G595" s="144"/>
      <c r="H595" s="144"/>
      <c r="I595" s="144"/>
      <c r="J595" s="145"/>
      <c r="K595" s="145"/>
      <c r="L595" s="148"/>
      <c r="M595" s="155"/>
      <c r="N595" s="144"/>
      <c r="O595" s="144"/>
      <c r="P595" s="144"/>
      <c r="Q595" s="145"/>
      <c r="R595" s="145"/>
      <c r="S595" s="154"/>
      <c r="T595" s="155"/>
      <c r="U595" s="144"/>
      <c r="V595" s="144"/>
    </row>
    <row r="596" spans="1:22" ht="14" x14ac:dyDescent="0.15">
      <c r="A596" s="144"/>
      <c r="B596" s="144"/>
      <c r="C596" s="145"/>
      <c r="D596" s="145"/>
      <c r="E596" s="148"/>
      <c r="F596" s="147"/>
      <c r="G596" s="144"/>
      <c r="H596" s="144"/>
      <c r="I596" s="144"/>
      <c r="J596" s="145"/>
      <c r="K596" s="145"/>
      <c r="L596" s="148"/>
      <c r="M596" s="155"/>
      <c r="N596" s="144"/>
      <c r="O596" s="144"/>
      <c r="P596" s="144"/>
      <c r="Q596" s="145"/>
      <c r="R596" s="145"/>
      <c r="S596" s="154"/>
      <c r="T596" s="155"/>
      <c r="U596" s="144"/>
      <c r="V596" s="144"/>
    </row>
    <row r="597" spans="1:22" ht="14" x14ac:dyDescent="0.15">
      <c r="A597" s="144"/>
      <c r="B597" s="144"/>
      <c r="C597" s="145"/>
      <c r="D597" s="145"/>
      <c r="E597" s="148"/>
      <c r="F597" s="147"/>
      <c r="G597" s="144"/>
      <c r="H597" s="144"/>
      <c r="I597" s="144"/>
      <c r="J597" s="145"/>
      <c r="K597" s="145"/>
      <c r="L597" s="148"/>
      <c r="M597" s="155"/>
      <c r="N597" s="144"/>
      <c r="O597" s="144"/>
      <c r="P597" s="144"/>
      <c r="Q597" s="145"/>
      <c r="R597" s="145"/>
      <c r="S597" s="154"/>
      <c r="T597" s="155"/>
      <c r="U597" s="144"/>
      <c r="V597" s="144"/>
    </row>
    <row r="598" spans="1:22" ht="14" x14ac:dyDescent="0.15">
      <c r="A598" s="144"/>
      <c r="B598" s="144"/>
      <c r="C598" s="145"/>
      <c r="D598" s="145"/>
      <c r="E598" s="148"/>
      <c r="F598" s="147"/>
      <c r="G598" s="144"/>
      <c r="H598" s="144"/>
      <c r="I598" s="144"/>
      <c r="J598" s="145"/>
      <c r="K598" s="145"/>
      <c r="L598" s="148"/>
      <c r="M598" s="155"/>
      <c r="N598" s="144"/>
      <c r="O598" s="144"/>
      <c r="P598" s="144"/>
      <c r="Q598" s="145"/>
      <c r="R598" s="145"/>
      <c r="S598" s="154"/>
      <c r="T598" s="155"/>
      <c r="U598" s="144"/>
      <c r="V598" s="144"/>
    </row>
    <row r="599" spans="1:22" ht="14" x14ac:dyDescent="0.15">
      <c r="A599" s="144"/>
      <c r="B599" s="144"/>
      <c r="C599" s="145"/>
      <c r="D599" s="145"/>
      <c r="E599" s="148"/>
      <c r="F599" s="147"/>
      <c r="G599" s="144"/>
      <c r="H599" s="144"/>
      <c r="I599" s="144"/>
      <c r="J599" s="145"/>
      <c r="K599" s="145"/>
      <c r="L599" s="148"/>
      <c r="M599" s="155"/>
      <c r="N599" s="144"/>
      <c r="O599" s="144"/>
      <c r="P599" s="144"/>
      <c r="Q599" s="145"/>
      <c r="R599" s="145"/>
      <c r="S599" s="154"/>
      <c r="T599" s="155"/>
      <c r="U599" s="144"/>
      <c r="V599" s="144"/>
    </row>
  </sheetData>
  <mergeCells count="9">
    <mergeCell ref="Q2:T2"/>
    <mergeCell ref="Q3:T3"/>
    <mergeCell ref="C1:F1"/>
    <mergeCell ref="J1:M1"/>
    <mergeCell ref="Q1:T1"/>
    <mergeCell ref="C2:F2"/>
    <mergeCell ref="J2:M2"/>
    <mergeCell ref="C3:F3"/>
    <mergeCell ref="J3:M3"/>
  </mergeCells>
  <hyperlinks>
    <hyperlink ref="E5" r:id="rId1" display="https://www.linkedin.com/learning/customer-service-leadership" xr:uid="{00000000-0004-0000-0700-000000000000}"/>
    <hyperlink ref="F5" r:id="rId2" display="https://www.linkedin.com/learning/paths/become-a-customer-service-manager" xr:uid="{00000000-0004-0000-0700-000001000000}"/>
    <hyperlink ref="L5" r:id="rId3" display="https://www.linkedin.com/learning/business-analytics-forecasting-with-exponential-smoothing" xr:uid="{00000000-0004-0000-0700-000002000000}"/>
    <hyperlink ref="M5" r:id="rId4" display="https://www.linkedin.com/learning/paths/advance-your-skills-in-predictive-analytics" xr:uid="{00000000-0004-0000-0700-000003000000}"/>
    <hyperlink ref="S5" r:id="rId5" display="https://www.linkedin.com/learning/gamification-for-interactive-learning" xr:uid="{00000000-0004-0000-0700-000004000000}"/>
    <hyperlink ref="T5" r:id="rId6" display="https://www.linkedin.com/learning/paths/develop-your-course-design-and-instructional-skills" xr:uid="{00000000-0004-0000-0700-000005000000}"/>
    <hyperlink ref="E6" r:id="rId7" display="https://www.linkedin.com/learning/calculating-the-value-and-roi-of-customer-service" xr:uid="{00000000-0004-0000-0700-000006000000}"/>
    <hyperlink ref="F6" r:id="rId8" display="https://www.linkedin.com/learning/paths/become-a-customer-service-specialist" xr:uid="{00000000-0004-0000-0700-000007000000}"/>
    <hyperlink ref="L6" r:id="rId9" display="https://www.linkedin.com/learning/cert-prep-excel-expert-microsoft-office-specialist-for-office-2019-and-office-365/prove-your-excel-skills-as-a-mos-expert" xr:uid="{00000000-0004-0000-0700-000008000000}"/>
    <hyperlink ref="M6" r:id="rId10" display="https://www.linkedin.com/learning/paths/become-a-business-analyst" xr:uid="{00000000-0004-0000-0700-000009000000}"/>
    <hyperlink ref="S6" r:id="rId11" display="https://www.linkedin.com/learning/applying-analytics-to-your-learning-program" xr:uid="{00000000-0004-0000-0700-00000A000000}"/>
    <hyperlink ref="T6" r:id="rId12" display="https://www.linkedin.com/learning/paths/become-a-user-experience-designer" xr:uid="{00000000-0004-0000-0700-00000B000000}"/>
    <hyperlink ref="E7" r:id="rId13" display="https://www.linkedin.com/learning/winning-back-a-lost-customer-2019" xr:uid="{00000000-0004-0000-0700-00000C000000}"/>
    <hyperlink ref="F7" r:id="rId14" display="https://www.linkedin.com/learning/paths/become-a-customer-support-specialist" xr:uid="{00000000-0004-0000-0700-00000D000000}"/>
    <hyperlink ref="L7" r:id="rId15" display="https://www.linkedin.com/learning/machine-learning-ai-advanced-decision-trees" xr:uid="{00000000-0004-0000-0700-00000E000000}"/>
    <hyperlink ref="M7" r:id="rId16" display="https://www.linkedin.com/learning/paths/become-a-business-analytics-expert?u=104" xr:uid="{00000000-0004-0000-0700-00000F000000}"/>
    <hyperlink ref="S7" r:id="rId17" display="https://www.linkedin.com/learning/leveraging-neuroscience-in-the-workplace/leveraging-your-brain-to-increase-strategic-speed" xr:uid="{00000000-0004-0000-0700-000010000000}"/>
    <hyperlink ref="T7" r:id="rId18" display="https://www.linkedin.com/learning/paths/become-an-instructional-designer" xr:uid="{00000000-0004-0000-0700-000011000000}"/>
    <hyperlink ref="E8" r:id="rId19" display="https://www.linkedin.com/learning/journey-mapping-case-study-in-action" xr:uid="{00000000-0004-0000-0700-000012000000}"/>
    <hyperlink ref="F8" r:id="rId20" display="https://www.linkedin.com/learning/paths/develop-your-customer-service-skills" xr:uid="{00000000-0004-0000-0700-000013000000}"/>
    <hyperlink ref="L8" r:id="rId21" display="https://www.linkedin.com/learning/people-analytics/a-brief-history-of-people-analytics" xr:uid="{00000000-0004-0000-0700-000014000000}"/>
    <hyperlink ref="M8" r:id="rId22" display="https://www.linkedin.com/learning/paths/become-a-data-analyst" xr:uid="{00000000-0004-0000-0700-000015000000}"/>
    <hyperlink ref="S8" r:id="rId23" display="https://www.linkedin.com/learning/using-neuroscience-for-more-effective-l-d" xr:uid="{00000000-0004-0000-0700-000016000000}"/>
    <hyperlink ref="T8" r:id="rId24" display="https://www.linkedin.com/learning/paths/become-an-instructional-developer" xr:uid="{00000000-0004-0000-0700-000017000000}"/>
    <hyperlink ref="E9" r:id="rId25" display="https://www.linkedin.com/learning/building-rapport-with-customers" xr:uid="{00000000-0004-0000-0700-000018000000}"/>
    <hyperlink ref="L9" r:id="rId26" display="https://www.linkedin.com/learning/apache-flink-exploratory-data-analytics-with-sql" xr:uid="{00000000-0004-0000-0700-000019000000}"/>
    <hyperlink ref="M9" r:id="rId27" display="https://www.linkedin.com/learning/paths/become-a-data-analytics-specialist" xr:uid="{00000000-0004-0000-0700-00001A000000}"/>
    <hyperlink ref="S9" r:id="rId28" display="https://www.linkedin.com/learning/data-driven-learning-design" xr:uid="{00000000-0004-0000-0700-00001B000000}"/>
    <hyperlink ref="T9" r:id="rId29" display="https://www.linkedin.com/learning/paths/become-an-ld-professional" xr:uid="{00000000-0004-0000-0700-00001C000000}"/>
    <hyperlink ref="E10" r:id="rId30" display="https://www.linkedin.com/learning/customer-service-foundations-2" xr:uid="{00000000-0004-0000-0700-00001D000000}"/>
    <hyperlink ref="L10" r:id="rId31" display="https://www.linkedin.com/learning/data-driven-learning-design" xr:uid="{00000000-0004-0000-0700-00001E000000}"/>
    <hyperlink ref="M10" r:id="rId32" display="https://www.linkedin.com/learning/paths/become-a-data-scientist" xr:uid="{00000000-0004-0000-0700-00001F000000}"/>
    <hyperlink ref="S10" r:id="rId33" display="https://www.linkedin.com/learning/corporate-instruction-foundations" xr:uid="{00000000-0004-0000-0700-000020000000}"/>
    <hyperlink ref="T10" r:id="rId34" display="https://www.linkedin.com/learning/paths/become-an-online-instructor" xr:uid="{00000000-0004-0000-0700-000021000000}"/>
    <hyperlink ref="E11" r:id="rId35" display="https://www.linkedin.com/learning/customer-service-writing-for-social-media" xr:uid="{00000000-0004-0000-0700-000022000000}"/>
    <hyperlink ref="L11" r:id="rId36" display="https://www.linkedin.com/learning/excel-vba-managing-files-and-data-revision" xr:uid="{00000000-0004-0000-0700-000023000000}"/>
    <hyperlink ref="M11" r:id="rId37" display="https://www.linkedin.com/learning/paths/become-a-data-visualization-specialist-concepts?u=104" xr:uid="{00000000-0004-0000-0700-000024000000}"/>
    <hyperlink ref="S11" r:id="rId38" display="https://www.linkedin.com/learning/learning-management-systems-lms-quick-start" xr:uid="{00000000-0004-0000-0700-000025000000}"/>
    <hyperlink ref="T11" r:id="rId39" display="https://www.linkedin.com/learning/paths/stay-competitive-using-design-thinking" xr:uid="{00000000-0004-0000-0700-000026000000}"/>
    <hyperlink ref="E12" r:id="rId40" display="https://www.linkedin.com/learning/delivering-bad-news-to-a-customer" xr:uid="{00000000-0004-0000-0700-000027000000}"/>
    <hyperlink ref="L12" r:id="rId41" display="https://www.linkedin.com/learning/data-science-foundations-fundamentals" xr:uid="{00000000-0004-0000-0700-000028000000}"/>
    <hyperlink ref="M12" r:id="rId42" display="https://www.linkedin.com/learning/paths/become-a-data-visualization-specialist-tools?u=104" xr:uid="{00000000-0004-0000-0700-000029000000}"/>
    <hyperlink ref="S12" r:id="rId43" display="https://www.linkedin.com/learning/flipping-the-classroom" xr:uid="{00000000-0004-0000-0700-00002A000000}"/>
    <hyperlink ref="T12" r:id="rId44" display="https://www.linkedin.com/learning/paths/visual-communication-for-business-professionals" xr:uid="{00000000-0004-0000-0700-00002B000000}"/>
    <hyperlink ref="E13" r:id="rId45" display="https://www.linkedin.com/learning/it-service-desk-customer-service-fundamentals" xr:uid="{00000000-0004-0000-0700-00002C000000}"/>
    <hyperlink ref="L13" r:id="rId46" display="https://www.linkedin.com/learning/linkedin-learning-highlights-data-science-and-analytics" xr:uid="{00000000-0004-0000-0700-00002D000000}"/>
    <hyperlink ref="M13" r:id="rId47" display="https://www.linkedin.com/learning/paths/develop-your-data-analysis-skills" xr:uid="{00000000-0004-0000-0700-00002E000000}"/>
    <hyperlink ref="S13" r:id="rId48" display="https://www.linkedin.com/learning/learning-articulate-rise-2019" xr:uid="{00000000-0004-0000-0700-00002F000000}"/>
    <hyperlink ref="E14" r:id="rId49" display="https://www.linkedin.com/learning/listening-to-customers" xr:uid="{00000000-0004-0000-0700-000030000000}"/>
    <hyperlink ref="L14" r:id="rId50" display="https://www.linkedin.com/learning/tech-ethics-avoiding-unintended-consequences" xr:uid="{00000000-0004-0000-0700-000031000000}"/>
    <hyperlink ref="M14" r:id="rId51" display="https://www.linkedin.com/learning/paths/master-advanced-excel-data-analytics-skills" xr:uid="{00000000-0004-0000-0700-000032000000}"/>
    <hyperlink ref="S14" r:id="rId52" display="https://www.linkedin.com/learning/camtasia-2019-for-mac-essential-training" xr:uid="{00000000-0004-0000-0700-000033000000}"/>
    <hyperlink ref="E15" r:id="rId53" display="https://www.linkedin.com/learning/managing-customer-expectations-for-frontline-employees" xr:uid="{00000000-0004-0000-0700-000034000000}"/>
    <hyperlink ref="L15" r:id="rId54" display="https://www.linkedin.com/learning/power-bi-dashboards-for-beginners" xr:uid="{00000000-0004-0000-0700-000035000000}"/>
    <hyperlink ref="M15" r:id="rId55" display="https://www.linkedin.com/learning/paths/master-excel-for-data-science" xr:uid="{00000000-0004-0000-0700-000036000000}"/>
    <hyperlink ref="S15" r:id="rId56" display="https://www.linkedin.com/learning/teaching-with-technology" xr:uid="{00000000-0004-0000-0700-000037000000}"/>
    <hyperlink ref="E16" r:id="rId57" display="https://www.linkedin.com/learning/quick-fixes-for-poor-customer-service" xr:uid="{00000000-0004-0000-0700-000038000000}"/>
    <hyperlink ref="L16" r:id="rId58" display="https://www.linkedin.com/learning/15-tips-for-landing-a-data-science-job" xr:uid="{00000000-0004-0000-0700-000039000000}"/>
    <hyperlink ref="M16" r:id="rId59" display="https://www.linkedin.com/learning/paths/master-python-for-data-science" xr:uid="{00000000-0004-0000-0700-00003A000000}"/>
    <hyperlink ref="S16" r:id="rId60" display="https://www.linkedin.com/learning/core-strategies-for-teaching-in-higher-ed" xr:uid="{00000000-0004-0000-0700-00003B000000}"/>
    <hyperlink ref="E17" r:id="rId61" display="https://www.linkedin.com/learning/thomas-a-stewart-and-patricia-o-connell-on-designing-and-delivering-great-customer-experience" xr:uid="{00000000-0004-0000-0700-00003C000000}"/>
    <hyperlink ref="L17" r:id="rId62" display="https://www.linkedin.com/learning/the-data-science-of-media-and-entertainment-with-barton-poulson" xr:uid="{00000000-0004-0000-0700-00003D000000}"/>
    <hyperlink ref="S17" r:id="rId63" display="https://www.linkedin.com/learning/learning-to-write-a-syllabus" xr:uid="{00000000-0004-0000-0700-00003E000000}"/>
    <hyperlink ref="E18" r:id="rId64" display="https://www.linkedin.com/learning/writing-customer-service-emails" xr:uid="{00000000-0004-0000-0700-00003F000000}"/>
    <hyperlink ref="L18" r:id="rId65" display="https://www.linkedin.com/learning/the-data-science-of-government-and-political-science-with-barton-poulson" xr:uid="{00000000-0004-0000-0700-000040000000}"/>
    <hyperlink ref="S18" r:id="rId66" display="https://www.linkedin.com/learning/teaching-with-linkedin-learning" xr:uid="{00000000-0004-0000-0700-000041000000}"/>
    <hyperlink ref="E19" r:id="rId67" display="https://www.linkedin.com/learning/selling-strategies-that-boost-customer-acquisition" xr:uid="{00000000-0004-0000-0700-000042000000}"/>
    <hyperlink ref="L19" r:id="rId68" display="https://www.linkedin.com/learning/the-data-science-of-retail-sales-and-commerce" xr:uid="{00000000-0004-0000-0700-000043000000}"/>
    <hyperlink ref="S19" r:id="rId69" display="https://www.linkedin.com/learning/educational-technology-for-student-success" xr:uid="{00000000-0004-0000-0700-000044000000}"/>
    <hyperlink ref="E20" r:id="rId70" display="https://www.linkedin.com/learning/using-thought-leadership-for-customer-acquisition" xr:uid="{00000000-0004-0000-0700-000045000000}"/>
    <hyperlink ref="L20" r:id="rId71" display="https://www.linkedin.com/learning/business-analysis-foundations-business-process-modeling" xr:uid="{00000000-0004-0000-0700-000046000000}"/>
    <hyperlink ref="S20" r:id="rId72" display="https://www.linkedin.com/learning/instructional-design-essentials-models-of-id-2/addie-evaluation-phase" xr:uid="{00000000-0004-0000-0700-000047000000}"/>
    <hyperlink ref="E21" r:id="rId73" display="https://www.linkedin.com/learning/ecommerce-fundamentals" xr:uid="{00000000-0004-0000-0700-000048000000}"/>
    <hyperlink ref="L21" r:id="rId74" display="https://www.linkedin.com/learning/business-analysis-foundations-competencies" xr:uid="{00000000-0004-0000-0700-000049000000}"/>
    <hyperlink ref="S21" r:id="rId75" display="https://www.linkedin.com/learning/foundations-of-corporate-training/introducing-a-culture-of-learning" xr:uid="{00000000-0004-0000-0700-00004A000000}"/>
    <hyperlink ref="E22" r:id="rId76" display="https://www.linkedin.com/learning/empathy-for-customer-service-professionals" xr:uid="{00000000-0004-0000-0700-00004B000000}"/>
    <hyperlink ref="L22" r:id="rId77" display="https://www.linkedin.com/learning/business-analysis-business-benefits-realization" xr:uid="{00000000-0004-0000-0700-00004C000000}"/>
    <hyperlink ref="S22" r:id="rId78" display="https://www.linkedin.com/learning/graphic-design-careers-first-steps-revision" xr:uid="{00000000-0004-0000-0700-00004D000000}"/>
    <hyperlink ref="E23" r:id="rId79" display="https://www.linkedin.com/learning/marketing-foundations-consumer-behavior-revision-2020" xr:uid="{00000000-0004-0000-0700-00004E000000}"/>
    <hyperlink ref="L23" r:id="rId80" display="https://www.linkedin.com/learning/data-fluency-exploring-and-describing-data" xr:uid="{00000000-0004-0000-0700-00004F000000}"/>
    <hyperlink ref="S23" r:id="rId81" display="https://www.linkedin.com/learning/building-a-creative-online-community" xr:uid="{00000000-0004-0000-0700-000050000000}"/>
    <hyperlink ref="E24" r:id="rId82" display="https://www.linkedin.com/learning/customer-success-management-fundamentals" xr:uid="{00000000-0004-0000-0700-000051000000}"/>
    <hyperlink ref="L24" r:id="rId83" display="https://www.linkedin.com/learning/data-science-tools-of-the-trade-first-steps" xr:uid="{00000000-0004-0000-0700-000052000000}"/>
    <hyperlink ref="S24" r:id="rId84" display="https://www.linkedin.com/learning/learning-impact-the-importance-of-storytelling" xr:uid="{00000000-0004-0000-0700-000053000000}"/>
    <hyperlink ref="E25" r:id="rId85" display="https://www.linkedin.com/learning/value-realization-best-practices-for-customer-success-management" xr:uid="{00000000-0004-0000-0700-000054000000}"/>
    <hyperlink ref="L25" r:id="rId86" display="https://www.linkedin.com/learning/database-foundations-creating-and-manipulating-data" xr:uid="{00000000-0004-0000-0700-000055000000}"/>
    <hyperlink ref="S25" r:id="rId87" display="https://www.linkedin.com/learning/creating-fun-and-engaging-video-training-the-how" xr:uid="{00000000-0004-0000-0700-000056000000}"/>
    <hyperlink ref="E26" r:id="rId88" display="https://www.linkedin.com/learning/avoiding-common-pitfalls-in-customer-success-management" xr:uid="{00000000-0004-0000-0700-000057000000}"/>
    <hyperlink ref="L26" r:id="rId89" display="https://www.linkedin.com/learning/excel-statistics-essential-training-1" xr:uid="{00000000-0004-0000-0700-000058000000}"/>
    <hyperlink ref="S26" r:id="rId90" display="https://www.linkedin.com/learning/creating-fun-and-engaging-video-training-the-why" xr:uid="{00000000-0004-0000-0700-000059000000}"/>
    <hyperlink ref="E27" r:id="rId91" display="https://www.linkedin.com/learning/onboarding-and-adoption-best-practices-for-customer-success-management" xr:uid="{00000000-0004-0000-0700-00005A000000}"/>
    <hyperlink ref="L27" r:id="rId92" display="https://www.linkedin.com/learning/excel-statistics-essential-training-1" xr:uid="{00000000-0004-0000-0700-00005B000000}"/>
    <hyperlink ref="S27" r:id="rId93" display="https://www.linkedin.com/learning/build-your-own-baller-training-quick-start-guide" xr:uid="{00000000-0004-0000-0700-00005C000000}"/>
    <hyperlink ref="E28" r:id="rId94" display="https://www.linkedin.com/learning/engagement-preparation-best-practices-for-customer-success-management" xr:uid="{00000000-0004-0000-0700-00005D000000}"/>
    <hyperlink ref="L28" r:id="rId95" display="https://www.linkedin.com/learning/learning-data-analytics-2/welcome" xr:uid="{00000000-0004-0000-0700-00005E000000}"/>
    <hyperlink ref="S28" r:id="rId96" display="https://www.linkedin.com/learning/using-humor-in-training-to-engage-your-audience" xr:uid="{00000000-0004-0000-0700-00005F000000}"/>
    <hyperlink ref="E29" r:id="rId97" display="https://www.linkedin.com/learning/engagement-evaluation-best-practices-for-customer-success-management" xr:uid="{00000000-0004-0000-0700-000060000000}"/>
    <hyperlink ref="L29" r:id="rId98" display="https://www.linkedin.com/learning/learning-data-science-tell-stories-with-data/define-a-story" xr:uid="{00000000-0004-0000-0700-000061000000}"/>
    <hyperlink ref="S29" r:id="rId99" display="https://www.linkedin.com/learning/articulate-storyline-essential-training-2020" xr:uid="{00000000-0004-0000-0700-000062000000}"/>
    <hyperlink ref="E30" r:id="rId100" display="https://www.linkedin.com/learning/business-fundamentals-for-customer-success-managers" xr:uid="{00000000-0004-0000-0700-000063000000}"/>
    <hyperlink ref="L30" r:id="rId101" display="https://www.linkedin.com/learning/learning-data-science-understanding-the-basics/welcome" xr:uid="{00000000-0004-0000-0700-000064000000}"/>
    <hyperlink ref="S30" r:id="rId102" display="https://www.linkedin.com/learning/learning-to-teach-online-2019" xr:uid="{00000000-0004-0000-0700-000065000000}"/>
    <hyperlink ref="E31" r:id="rId103" display="https://www.linkedin.com/learning/customer-service-and-support-during-economic-downturns" xr:uid="{00000000-0004-0000-0700-000066000000}"/>
    <hyperlink ref="L31" r:id="rId104" display="https://www.linkedin.com/learning/learning-data-visualization-3" xr:uid="{00000000-0004-0000-0700-000067000000}"/>
    <hyperlink ref="S31" r:id="rId105" display="https://www.linkedin.com/learning/learning-moodle-3-9" xr:uid="{00000000-0004-0000-0700-000068000000}"/>
    <hyperlink ref="E32" r:id="rId106" display="https://www.linkedin.com/learning/data-ethics-managing-your-private-customer-data" xr:uid="{00000000-0004-0000-0700-000069000000}"/>
    <hyperlink ref="L32" r:id="rId107" display="https://www.linkedin.com/learning/learning-excel-data-analysis-2" xr:uid="{00000000-0004-0000-0700-00006A000000}"/>
    <hyperlink ref="S32" r:id="rId108" display="https://www.linkedin.com/learning/how-to-turn-your-entrepreneur-journey-into-a-successful-keynote-talk" xr:uid="{00000000-0004-0000-0700-00006B000000}"/>
    <hyperlink ref="E33" r:id="rId109" display="https://www.linkedin.com/learning/empathy-in-ux-design" xr:uid="{00000000-0004-0000-0700-00006C000000}"/>
    <hyperlink ref="L33" r:id="rId110" display="https://www.linkedin.com/learning/learning-information-governance" xr:uid="{00000000-0004-0000-0700-00006D000000}"/>
    <hyperlink ref="S33" r:id="rId111" display="https://www.linkedin.com/learning/empathy-in-business-design-for-success,https:/www.linkedin.com/learning/empathy-in-design" xr:uid="{00000000-0004-0000-0700-00006E000000}"/>
    <hyperlink ref="E34" r:id="rId112" display="https://www.linkedin.com/learning/customer-retention" xr:uid="{00000000-0004-0000-0700-00006F000000}"/>
    <hyperlink ref="L34" r:id="rId113" display="https://www.linkedin.com/learning/learning-relational-databases-2" xr:uid="{00000000-0004-0000-0700-000070000000}"/>
    <hyperlink ref="S34" r:id="rId114" display="https://www.linkedin.com/learning/pivoting-to-virtual-events" xr:uid="{00000000-0004-0000-0700-000071000000}"/>
    <hyperlink ref="E35" r:id="rId115" display="https://www.linkedin.com/learning/customer-service-in-the-field" xr:uid="{00000000-0004-0000-0700-000072000000}"/>
    <hyperlink ref="L35" r:id="rId116" display="https://www.linkedin.com/learning/machine-learning-ai-foundations-decision-trees" xr:uid="{00000000-0004-0000-0700-000073000000}"/>
    <hyperlink ref="S35" r:id="rId117" display="https://www.linkedin.com/learning/components-of-effective-learning" xr:uid="{00000000-0004-0000-0700-000074000000}"/>
    <hyperlink ref="E36" r:id="rId118" display="https://www.linkedin.com/learning/customer-service-handling-abusive-customers" xr:uid="{00000000-0004-0000-0700-000075000000}"/>
    <hyperlink ref="L36" r:id="rId119" display="https://www.linkedin.com/learning/sql-for-exploratory-data-analysis-essential-training" xr:uid="{00000000-0004-0000-0700-000076000000}"/>
    <hyperlink ref="S36" r:id="rId120" display="https://www.linkedin.com/learning/cert-prep-adobe-certified-associate-indesign-revision" xr:uid="{00000000-0004-0000-0700-000077000000}"/>
    <hyperlink ref="E37" r:id="rId121" display="https://www.linkedin.com/learning/customer-service-managing-customer-feedback" xr:uid="{00000000-0004-0000-0700-000078000000}"/>
    <hyperlink ref="L37" r:id="rId122" display="https://www.linkedin.com/learning/statistics-foundations-1" xr:uid="{00000000-0004-0000-0700-000079000000}"/>
    <hyperlink ref="S37" r:id="rId123" display="https://www.linkedin.com/learning/graphic-design-foundations-ideas-concepts-and-form" xr:uid="{00000000-0004-0000-0700-00007A000000}"/>
    <hyperlink ref="E38" r:id="rId124" display="https://www.linkedin.com/learning/customer-service-problem-solving-and-troubleshooting" xr:uid="{00000000-0004-0000-0700-00007B000000}"/>
    <hyperlink ref="L38" r:id="rId125" display="https://www.linkedin.com/learning/studying-for-the-certified-business-analysis-professional-cbap" xr:uid="{00000000-0004-0000-0700-00007C000000}"/>
    <hyperlink ref="S38" r:id="rId126" display="https://www.linkedin.com/learning/instructional-design-needs-analysis/defining-learning-outcomes" xr:uid="{00000000-0004-0000-0700-00007D000000}"/>
    <hyperlink ref="E39" r:id="rId127" display="https://www.linkedin.com/learning/customer-service-serving-internal-customers" xr:uid="{00000000-0004-0000-0700-00007E000000}"/>
    <hyperlink ref="L39" r:id="rId128" display="https://www.linkedin.com/learning/introducing-ai-to-your-organization" xr:uid="{00000000-0004-0000-0700-00007F000000}"/>
    <hyperlink ref="S39" r:id="rId129" display="https://www.linkedin.com/learning/instructional-design-storyboarding" xr:uid="{00000000-0004-0000-0700-000080000000}"/>
    <hyperlink ref="E40" r:id="rId130" display="https://www.linkedin.com/learning/developing-a-service-mindset" xr:uid="{00000000-0004-0000-0700-000081000000}"/>
    <hyperlink ref="L40" r:id="rId131" display="https://www.linkedin.com/learning/sas-9-4-cert-prep-analyzing-and-reporting-on-data" xr:uid="{00000000-0004-0000-0700-000082000000}"/>
    <hyperlink ref="S40" r:id="rId132" display="https://www.linkedin.com/learning/blackboard-essential-training" xr:uid="{00000000-0004-0000-0700-000083000000}"/>
    <hyperlink ref="E41" r:id="rId133" display="https://www.linkedin.com/learning/data-driven-harnessing-data-and-ai-to-reinvent-customer-engagement-getabstract-summary" xr:uid="{00000000-0004-0000-0700-000084000000}"/>
    <hyperlink ref="L41" r:id="rId134" display="https://www.linkedin.com/learning/introduction-to-business-analytics" xr:uid="{00000000-0004-0000-0700-000085000000}"/>
    <hyperlink ref="S41" r:id="rId135" display="https://www.linkedin.com/learning/learning-how-to-increase-learner-engagement" xr:uid="{00000000-0004-0000-0700-000086000000}"/>
    <hyperlink ref="E42" r:id="rId136" display="https://www.linkedin.com/learning/just-ask-dean-karrel-2020" xr:uid="{00000000-0004-0000-0700-000087000000}"/>
    <hyperlink ref="L42" r:id="rId137" display="https://www.linkedin.com/learning/data-ethics-making-data-driven-decisions" xr:uid="{00000000-0004-0000-0700-000088000000}"/>
    <hyperlink ref="S42" r:id="rId138" display="https://www.linkedin.com/learning/design-thinking-implementing-the-process-revision-2021" xr:uid="{00000000-0004-0000-0700-000089000000}"/>
    <hyperlink ref="E43" r:id="rId139" display="https://www.linkedin.com/learning/building-customer-loyalty" xr:uid="{00000000-0004-0000-0700-00008A000000}"/>
    <hyperlink ref="L43" r:id="rId140" display="https://www.linkedin.com/learning/tableau-essential-training-2020-1-revision" xr:uid="{00000000-0004-0000-0700-00008B000000}"/>
    <hyperlink ref="S43" r:id="rId141" display="https://www.linkedin.com/learning/design-thinking-at-work-getabstract-summary" xr:uid="{00000000-0004-0000-0700-00008C000000}"/>
    <hyperlink ref="E44" r:id="rId142" display="https://www.linkedin.com/learning/creating-a-positive-customer-experience" xr:uid="{00000000-0004-0000-0700-00008D000000}"/>
    <hyperlink ref="L44" r:id="rId143" display="https://www.linkedin.com/learning/business-analytics-marketing-data" xr:uid="{00000000-0004-0000-0700-00008E000000}"/>
    <hyperlink ref="S44" r:id="rId144" display="https://www.linkedin.com/learning/storytraining-selecting-and-shaping-stories-that-connect-getabstract-summary" xr:uid="{00000000-0004-0000-0700-00008F000000}"/>
    <hyperlink ref="E45" r:id="rId145" display="https://www.linkedin.com/learning/creating-positive-conversations-with-challenging-customers" xr:uid="{00000000-0004-0000-0700-000090000000}"/>
    <hyperlink ref="L45" r:id="rId146" display="https://www.linkedin.com/learning/business-analytics-sales-data" xr:uid="{00000000-0004-0000-0700-000091000000}"/>
    <hyperlink ref="S45" r:id="rId147" display="https://www.linkedin.com/learning/color-trends" xr:uid="{00000000-0004-0000-0700-000092000000}"/>
    <hyperlink ref="E46" r:id="rId148" display="https://www.linkedin.com/learning/customer-advocacy" xr:uid="{00000000-0004-0000-0700-000093000000}"/>
    <hyperlink ref="L46" r:id="rId149" display="https://www.linkedin.com/learning/the-data-game-of-fantasy-football" xr:uid="{00000000-0004-0000-0700-000094000000}"/>
    <hyperlink ref="S46" r:id="rId150" display="https://www.linkedin.com/learning/technology-ethics" xr:uid="{00000000-0004-0000-0700-000095000000}"/>
    <hyperlink ref="E47" r:id="rId151" display="https://www.linkedin.com/learning/customer-experience-journey-mapping/empathy-and-emotion" xr:uid="{00000000-0004-0000-0700-000096000000}"/>
    <hyperlink ref="L47" r:id="rId152" display="https://www.linkedin.com/learning/learning-public-data-sets-2019-revision" xr:uid="{00000000-0004-0000-0700-000097000000}"/>
    <hyperlink ref="S47" r:id="rId153" display="https://www.linkedin.com/learning/running-a-design-business-writing-and-pricing-winning-proposals" xr:uid="{00000000-0004-0000-0700-000098000000}"/>
    <hyperlink ref="E48" r:id="rId154" display="https://www.linkedin.com/learning/customer-service-blueprinting" xr:uid="{00000000-0004-0000-0700-000099000000}"/>
    <hyperlink ref="L48" r:id="rId155" display="https://www.linkedin.com/learning/spss-statistics-essential-training-2020-revision" xr:uid="{00000000-0004-0000-0700-00009A000000}"/>
    <hyperlink ref="S48" r:id="rId156" display="https://www.linkedin.com/learning/design-thinking-understanding-the-process-revision-2021" xr:uid="{00000000-0004-0000-0700-00009B000000}"/>
    <hyperlink ref="E49" r:id="rId157" display="https://www.linkedin.com/learning/customer-service-motivating-your-team" xr:uid="{00000000-0004-0000-0700-00009C000000}"/>
    <hyperlink ref="L49" r:id="rId158" display="https://www.linkedin.com/learning/r-essential-training-part-1-wrangling-and-visualizing-data" xr:uid="{00000000-0004-0000-0700-00009D000000}"/>
    <hyperlink ref="S49" r:id="rId159" display="https://www.linkedin.com/learning/articulate-360-interactive-learning/welcome" xr:uid="{00000000-0004-0000-0700-00009E000000}"/>
    <hyperlink ref="E50" r:id="rId160" display="https://www.linkedin.com/learning/customer-service-preventing-turnover" xr:uid="{00000000-0004-0000-0700-00009F000000}"/>
    <hyperlink ref="L50" r:id="rId161" display="https://www.linkedin.com/learning/cloud-hadoop-scaling-apache-spark" xr:uid="{00000000-0004-0000-0700-0000A0000000}"/>
    <hyperlink ref="S50" r:id="rId162" display="https://www.linkedin.com/learning/brain-based-elearning-design" xr:uid="{00000000-0004-0000-0700-0000A1000000}"/>
    <hyperlink ref="E51" r:id="rId163" display="https://www.linkedin.com/learning/innovative-customer-service-techniques" xr:uid="{00000000-0004-0000-0700-0000A2000000}"/>
    <hyperlink ref="L51" r:id="rId164" display="https://www.linkedin.com/learning/the-non-technical-skills-of-effective-data-scientists" xr:uid="{00000000-0004-0000-0700-0000A3000000}"/>
    <hyperlink ref="S51" r:id="rId165" display="https://www.linkedin.com/learning/gaining-internal-buy-in-for-elearning-training" xr:uid="{00000000-0004-0000-0700-0000A4000000}"/>
    <hyperlink ref="E52" r:id="rId166" display="https://www.linkedin.com/learning/leading-a-customer-centric-culture-2" xr:uid="{00000000-0004-0000-0700-0000A5000000}"/>
    <hyperlink ref="L52" r:id="rId167" display="https://www.linkedin.com/learning/data-science-foundations-data-engineering" xr:uid="{00000000-0004-0000-0700-0000A6000000}"/>
    <hyperlink ref="S52" r:id="rId168" display="https://www.linkedin.com/learning/teaching-techniques-blended-learning" xr:uid="{00000000-0004-0000-0700-0000A7000000}"/>
    <hyperlink ref="E53" r:id="rId169" display="https://www.linkedin.com/learning/managing-a-customer-service-team" xr:uid="{00000000-0004-0000-0700-0000A8000000}"/>
    <hyperlink ref="L53" r:id="rId170" display="https://www.linkedin.com/learning/data-science-foundations-data-mining/welcome" xr:uid="{00000000-0004-0000-0700-0000A9000000}"/>
    <hyperlink ref="S53" r:id="rId171" display="https://www.linkedin.com/learning/teaching-technical-skills-through-video" xr:uid="{00000000-0004-0000-0700-0000AA000000}"/>
    <hyperlink ref="E54" r:id="rId172" display="https://www.linkedin.com/learning/managing-customer-expectations-for-managers" xr:uid="{00000000-0004-0000-0700-0000AB000000}"/>
    <hyperlink ref="L54" r:id="rId173" display="https://www.linkedin.com/learning/excel-statistics-essential-training-2" xr:uid="{00000000-0004-0000-0700-0000AC000000}"/>
    <hyperlink ref="S54" r:id="rId174" display="https://www.linkedin.com/learning/teaching-techniques-data-driven-instruction" xr:uid="{00000000-0004-0000-0700-0000AD000000}"/>
    <hyperlink ref="E55" r:id="rId175" display="https://www.linkedin.com/learning/service-innovation" xr:uid="{00000000-0004-0000-0700-0000AE000000}"/>
    <hyperlink ref="L55" r:id="rId176" display="https://www.linkedin.com/learning/statistics-foundations-2" xr:uid="{00000000-0004-0000-0700-0000AF000000}"/>
    <hyperlink ref="S55" r:id="rId177" display="https://www.linkedin.com/learning/teacher-tips" xr:uid="{00000000-0004-0000-0700-0000B0000000}"/>
    <hyperlink ref="E56" r:id="rId178" display="https://www.linkedin.com/learning/service-metrics-for-customer-service" xr:uid="{00000000-0004-0000-0700-0000B1000000}"/>
    <hyperlink ref="L56" r:id="rId179" display="https://www.linkedin.com/learning/r-essential-training-part-2-modeling-data" xr:uid="{00000000-0004-0000-0700-0000B2000000}"/>
    <hyperlink ref="S56" r:id="rId180" display="https://www.linkedin.com/learning/teaching-techniques-project-based-learning" xr:uid="{00000000-0004-0000-0700-0000B3000000}"/>
    <hyperlink ref="E57" r:id="rId181" display="https://www.linkedin.com/learning/using-customer-surveys-to-improve-service" xr:uid="{00000000-0004-0000-0700-0000B4000000}"/>
    <hyperlink ref="L57" r:id="rId182" display="https://www.linkedin.com/learning/how-to-perform-business-analysis-in-a-virtual-environment" xr:uid="{00000000-0004-0000-0700-0000B5000000}"/>
    <hyperlink ref="S57" r:id="rId183" display="https://www.linkedin.com/learning/teaching-techniques-creating-multimedia-learning" xr:uid="{00000000-0004-0000-0700-0000B6000000}"/>
    <hyperlink ref="E58" r:id="rId184" display="https://www.linkedin.com/learning/working-with-upset-customers" xr:uid="{00000000-0004-0000-0700-0000B7000000}"/>
    <hyperlink ref="L58" r:id="rId185" display="https://www.linkedin.com/learning/analyzing-big-data-with-hive" xr:uid="{00000000-0004-0000-0700-0000B8000000}"/>
    <hyperlink ref="S58" r:id="rId186" display="https://www.linkedin.com/learning/teaching-techniques-classroom-management" xr:uid="{00000000-0004-0000-0700-0000B9000000}"/>
    <hyperlink ref="E59" r:id="rId187" display="https://www.linkedin.com/learning/aligning-customer-experience-with-company-culture" xr:uid="{00000000-0004-0000-0700-0000BA000000}"/>
    <hyperlink ref="L59" r:id="rId188" display="https://www.linkedin.com/learning/478e9692-d13d-338f-907e-d76f0724d773" xr:uid="{00000000-0004-0000-0700-0000BB000000}"/>
    <hyperlink ref="S59" r:id="rId189" display="https://www.linkedin.com/learning/powerpoint-for-teachers-creating-interactive-lessons" xr:uid="{00000000-0004-0000-0700-0000BC000000}"/>
    <hyperlink ref="E60" r:id="rId190" display="https://www.linkedin.com/learning/customer-service-using-ai-and-machine-learning" xr:uid="{00000000-0004-0000-0700-0000BD000000}"/>
    <hyperlink ref="L60" r:id="rId191" display="https://www.linkedin.com/learning/business-analytics-foundations-predictive-prescriptive-and-experimental-analytics" xr:uid="{00000000-0004-0000-0700-0000BE000000}"/>
    <hyperlink ref="S60" r:id="rId192" display="https://www.linkedin.com/learning/teaching-complex-topics" xr:uid="{00000000-0004-0000-0700-0000BF000000}"/>
    <hyperlink ref="E61" r:id="rId193" display="https://www.linkedin.com/learning/customer-service-serving-customers-through-chat-and-text" xr:uid="{00000000-0004-0000-0700-0000C0000000}"/>
    <hyperlink ref="L61" r:id="rId194" display="https://www.linkedin.com/learning/data-visualization-tips-and-tricks" xr:uid="{00000000-0004-0000-0700-0000C1000000}"/>
    <hyperlink ref="S61" r:id="rId195" display="https://www.linkedin.com/learning/teaching-online-synchronous-classes" xr:uid="{00000000-0004-0000-0700-0000C2000000}"/>
    <hyperlink ref="E62" r:id="rId196" display="https://www.linkedin.com/learning/making-business-videos-for-customers" xr:uid="{00000000-0004-0000-0700-0000C3000000}"/>
    <hyperlink ref="L62" r:id="rId197" display="https://www.linkedin.com/learning/design-thinking-data-intelligence" xr:uid="{00000000-0004-0000-0700-0000C4000000}"/>
    <hyperlink ref="S62" r:id="rId198" display="https://www.linkedin.com/learning/teaching-techniques-creating-effective-learning-assessments" xr:uid="{00000000-0004-0000-0700-0000C5000000}"/>
    <hyperlink ref="E63" r:id="rId199" display="https://www.linkedin.com/learning/serving-customers-using-social-media-2019" xr:uid="{00000000-0004-0000-0700-0000C6000000}"/>
    <hyperlink ref="L63" r:id="rId200" display="https://www.linkedin.com/learning/excel-2016-managing-and-analyzing-data" xr:uid="{00000000-0004-0000-0700-0000C7000000}"/>
    <hyperlink ref="S63" r:id="rId201" display="https://www.linkedin.com/learning/getting-executive-buy-in-and-support-for-your-l-d-program,https:/www.linkedin.com/learning/the-future-of-workplace-learning" xr:uid="{00000000-0004-0000-0700-0000C8000000}"/>
    <hyperlink ref="E64" r:id="rId202" display="https://www.linkedin.com/learning/leading-a-customer-service-team" xr:uid="{00000000-0004-0000-0700-0000C9000000}"/>
    <hyperlink ref="L64" r:id="rId203" display="https://www.linkedin.com/learning/excel-data-analysis-forecasting" xr:uid="{00000000-0004-0000-0700-0000CA000000}"/>
    <hyperlink ref="S64" r:id="rId204" display="https://www.linkedin.com/learning/ux-deep-dive-remote-research" xr:uid="{00000000-0004-0000-0700-0000CB000000}"/>
    <hyperlink ref="L65" r:id="rId205" display="https://www.linkedin.com/learning/excel-charts-in-depth" xr:uid="{00000000-0004-0000-0700-0000CC000000}"/>
    <hyperlink ref="S65" r:id="rId206" display="https://www.linkedin.com/learning/articulate-360-advanced-actions-2020" xr:uid="{00000000-0004-0000-0700-0000CD000000}"/>
    <hyperlink ref="L66" r:id="rId207" display="https://www.linkedin.com/learning/financial-analysis-analyzing-the-bottom-line-with-excel" xr:uid="{00000000-0004-0000-0700-0000CE000000}"/>
    <hyperlink ref="S66" r:id="rId208" display="https://www.linkedin.com/learning/teaching-techniques-making-accessible-learning" xr:uid="{00000000-0004-0000-0700-0000CF000000}"/>
    <hyperlink ref="L67" r:id="rId209" display="https://www.linkedin.com/learning/15-mistakes-to-avoid-in-data-science" xr:uid="{00000000-0004-0000-0700-0000D0000000}"/>
    <hyperlink ref="S67" r:id="rId210" display="https://www.linkedin.com/learning/teacher-tech-tips" xr:uid="{00000000-0004-0000-0700-0000D1000000}"/>
    <hyperlink ref="L68" r:id="rId211" display="https://www.linkedin.com/learning/ux-deep-dive-analyzing-data" xr:uid="{00000000-0004-0000-0700-0000D2000000}"/>
    <hyperlink ref="S68" r:id="rId212" display="https://www.linkedin.com/learning/camtasia-2019-essential-training-advanced-techniques" xr:uid="{00000000-0004-0000-0700-0000D3000000}"/>
    <hyperlink ref="L69" r:id="rId213" display="https://www.linkedin.com/learning/lessons-from-data-scientists" xr:uid="{00000000-0004-0000-0700-0000D4000000}"/>
    <hyperlink ref="S69" r:id="rId214" display="https://www.linkedin.com/learning/designing-a-training-program-setting-goals-objectives-and-mediums" xr:uid="{00000000-0004-0000-0700-0000D5000000}"/>
    <hyperlink ref="L70" r:id="rId215" display="https://www.linkedin.com/learning/data-visualization-storytelling,https:/www.linkedin.com/learning/data-visualization-storytelling-3,https:/www.linkedin.com/learning/data-visualization-storytelling-revision" xr:uid="{00000000-0004-0000-0700-0000D6000000}"/>
    <hyperlink ref="S70" r:id="rId216" display="https://www.linkedin.com/learning/elearning-tips" xr:uid="{00000000-0004-0000-0700-0000D7000000}"/>
    <hyperlink ref="L71" r:id="rId217" display="https://www.linkedin.com/learning/excel-supply-chain-analysis-solving-transportation-problems" xr:uid="{00000000-0004-0000-0700-0000D8000000}"/>
    <hyperlink ref="S71" r:id="rId218" display="https://www.linkedin.com/learning/success-metrics-in-your-l-d-program" xr:uid="{00000000-0004-0000-0700-0000D9000000}"/>
    <hyperlink ref="L72" r:id="rId219" display="https://www.linkedin.com/learning/financial-analysis-analyzing-the-top-line-with-excel" xr:uid="{00000000-0004-0000-0700-0000DA000000}"/>
    <hyperlink ref="S72" r:id="rId220" display="https://www.linkedin.com/learning/interaction-design-interface" xr:uid="{00000000-0004-0000-0700-0000DB000000}"/>
    <hyperlink ref="L73" r:id="rId221" display="https://www.linkedin.com/learning/financial-analysis-making-business-projections" xr:uid="{00000000-0004-0000-0700-0000DC000000}"/>
    <hyperlink ref="S73" r:id="rId222" display="https://www.linkedin.com/learning/applied-interaction-design-managing-comments" xr:uid="{00000000-0004-0000-0700-0000DD000000}"/>
    <hyperlink ref="L74" r:id="rId223" display="https://www.linkedin.com/learning/meta-analysis-for-data-science-and-business-analytics" xr:uid="{00000000-0004-0000-0700-0000DE000000}"/>
    <hyperlink ref="S74" r:id="rId224" display="https://www.linkedin.com/learning/adobe-captivate-advanced-actions" xr:uid="{00000000-0004-0000-0700-0000DF000000}"/>
    <hyperlink ref="L75" r:id="rId225" display="https://www.linkedin.com/learning/nosql-data-modeling-essential-training" xr:uid="{00000000-0004-0000-0700-0000E0000000}"/>
    <hyperlink ref="S75" r:id="rId226" display="https://www.linkedin.com/learning/converting-face-to-face-training-into-digital-learning" xr:uid="{00000000-0004-0000-0700-0000E1000000}"/>
    <hyperlink ref="L76" r:id="rId227" display="https://www.linkedin.com/learning/statistics-foundations-3" xr:uid="{00000000-0004-0000-0700-0000E2000000}"/>
    <hyperlink ref="S76" r:id="rId228" display="https://www.linkedin.com/learning/articulate-storyline-quick-tips" xr:uid="{00000000-0004-0000-0700-0000E3000000}"/>
    <hyperlink ref="L77" r:id="rId229" display="https://www.linkedin.com/learning/storytelling-with-data" xr:uid="{00000000-0004-0000-0700-0000E4000000}"/>
    <hyperlink ref="S77" r:id="rId230" display="https://www.linkedin.com/learning/20-questions-to-improve-learning-at-your-organization" xr:uid="{00000000-0004-0000-0700-0000E5000000}"/>
    <hyperlink ref="L78" r:id="rId231" display="https://www.linkedin.com/learning/power-bi-data-modeling-with-dax" xr:uid="{00000000-0004-0000-0700-0000E6000000}"/>
    <hyperlink ref="L79" r:id="rId232" display="https://www.linkedin.com/learning/big-data-analytics-with-hadoop-and-apache-spark" xr:uid="{00000000-0004-0000-0700-0000E7000000}"/>
    <hyperlink ref="L80" r:id="rId233" display="https://www.linkedin.com/learning/text-analytics-and-predictions-with-r-essential-training" xr:uid="{00000000-0004-0000-0700-0000E8000000}"/>
    <hyperlink ref="L81" r:id="rId234" display="https://www.linkedin.com/learning/data-dashboards-in-power-bi" xr:uid="{00000000-0004-0000-0700-0000E9000000}"/>
    <hyperlink ref="L82" r:id="rId235" display="https://www.linkedin.com/learning/power-bi-data-methods" xr:uid="{00000000-0004-0000-0700-0000EA000000}"/>
    <hyperlink ref="L83" r:id="rId236" display="https://www.linkedin.com/learning/using-python-with-excel" xr:uid="{00000000-0004-0000-0700-0000EB000000}"/>
    <hyperlink ref="L84" r:id="rId237" display="https://www.linkedin.com/learning/python-for-data-visualization" xr:uid="{00000000-0004-0000-0700-0000EC000000}"/>
    <hyperlink ref="L85" r:id="rId238" display="https://www.linkedin.com/learning/sql-data-reporting-and-analysis-2020-revision" xr:uid="{00000000-0004-0000-0700-0000ED000000}"/>
    <hyperlink ref="L86" r:id="rId239" display="https://www.linkedin.com/learning/power-bi-dataflows-essential-training" xr:uid="{00000000-0004-0000-0700-0000EE000000}"/>
    <hyperlink ref="L87" r:id="rId240" display="https://www.linkedin.com/learning/sap-erp-beyond-the-basics" xr:uid="{00000000-0004-0000-0700-0000EF000000}"/>
    <hyperlink ref="L88" r:id="rId241" display="https://www.linkedin.com/learning/tableau-and-r-for-analytics-projects" xr:uid="{00000000-0004-0000-0700-0000F0000000}"/>
    <hyperlink ref="L89" r:id="rId242" display="https://www.linkedin.com/learning/abap-for-sap-users" xr:uid="{00000000-0004-0000-0700-0000F1000000}"/>
    <hyperlink ref="L90" r:id="rId243" display="https://www.linkedin.com/learning/review-and-manage-the-sap-mrp-list" xr:uid="{00000000-0004-0000-0700-0000F2000000}"/>
    <hyperlink ref="L91" r:id="rId244" display="https://www.linkedin.com/learning/ai-in-business-essential-training" xr:uid="{00000000-0004-0000-0700-0000F3000000}"/>
    <hyperlink ref="L92" r:id="rId245" display="https://www.linkedin.com/learning/ai-in-fintech-essential-training" xr:uid="{00000000-0004-0000-0700-0000F4000000}"/>
    <hyperlink ref="L93" r:id="rId246" display="https://www.linkedin.com/learning/excel-avoiding-common-mistakes-office-365-excel-2019" xr:uid="{00000000-0004-0000-0700-0000F5000000}"/>
    <hyperlink ref="L94" r:id="rId247" display="https://www.linkedin.com/learning/the-data-science-of-experimental-design" xr:uid="{00000000-0004-0000-0700-0000F6000000}"/>
    <hyperlink ref="L95" r:id="rId248" display="https://www.linkedin.com/learning/side-hustle-strategies-for-data-science-and-analytics-experts" xr:uid="{00000000-0004-0000-0700-0000F7000000}"/>
    <hyperlink ref="L96" r:id="rId249" display="https://www.linkedin.com/learning/postgresql-essential-training" xr:uid="{00000000-0004-0000-0700-0000F8000000}"/>
    <hyperlink ref="L97" r:id="rId250" display="https://www.linkedin.com/learning/data-visualization-for-data-analysis-and-analytics" xr:uid="{00000000-0004-0000-0700-0000F9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xr:uid="{00000000-0002-0000-0700-000000000000}">
          <x14:formula1>
            <xm:f>'All Competencies'!$A$3:$A599</xm:f>
          </x14:formula1>
          <xm:sqref>A1:C1 G1:J1 N1:Q1 U1:V1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A4C2F4"/>
    <outlinePr summaryBelow="0" summaryRight="0"/>
  </sheetPr>
  <dimension ref="A1:V596"/>
  <sheetViews>
    <sheetView showGridLines="0" workbookViewId="0">
      <pane ySplit="4" topLeftCell="A5" activePane="bottomLeft" state="frozen"/>
      <selection pane="bottomLeft" activeCell="F20" sqref="F20"/>
    </sheetView>
  </sheetViews>
  <sheetFormatPr baseColWidth="10" defaultColWidth="14.5" defaultRowHeight="15.75" customHeight="1" outlineLevelRow="1" x14ac:dyDescent="0.15"/>
  <cols>
    <col min="1" max="2" width="0.6640625" customWidth="1"/>
    <col min="3" max="3" width="13.5" customWidth="1"/>
    <col min="4" max="4" width="18" customWidth="1"/>
    <col min="5" max="5" width="36.83203125" customWidth="1"/>
    <col min="6" max="6" width="37.5" customWidth="1"/>
    <col min="7" max="9" width="0.6640625" customWidth="1"/>
    <col min="10" max="10" width="13.5" customWidth="1"/>
    <col min="11" max="11" width="18" customWidth="1"/>
    <col min="12" max="12" width="36.83203125" customWidth="1"/>
    <col min="13" max="13" width="37.5" customWidth="1"/>
    <col min="14" max="16" width="0.6640625" customWidth="1"/>
    <col min="17" max="17" width="13.5" customWidth="1"/>
    <col min="18" max="18" width="18" customWidth="1"/>
    <col min="19" max="19" width="36.83203125" customWidth="1"/>
    <col min="20" max="20" width="37.5" customWidth="1"/>
    <col min="21" max="22" width="0.6640625" customWidth="1"/>
  </cols>
  <sheetData>
    <row r="1" spans="1:22" ht="27.75" customHeight="1" outlineLevel="1" x14ac:dyDescent="0.15">
      <c r="A1" s="127"/>
      <c r="B1" s="127"/>
      <c r="C1" s="188" t="s">
        <v>694</v>
      </c>
      <c r="D1" s="160"/>
      <c r="E1" s="160"/>
      <c r="F1" s="160"/>
      <c r="G1" s="127"/>
      <c r="H1" s="127"/>
      <c r="I1" s="127"/>
      <c r="J1" s="188" t="s">
        <v>748</v>
      </c>
      <c r="K1" s="160"/>
      <c r="L1" s="160"/>
      <c r="M1" s="160"/>
      <c r="N1" s="127"/>
      <c r="O1" s="127"/>
      <c r="P1" s="127"/>
      <c r="Q1" s="188" t="s">
        <v>817</v>
      </c>
      <c r="R1" s="160"/>
      <c r="S1" s="160"/>
      <c r="T1" s="160"/>
      <c r="U1" s="127"/>
      <c r="V1" s="127"/>
    </row>
    <row r="2" spans="1:22" ht="17" outlineLevel="1" x14ac:dyDescent="0.15">
      <c r="A2" s="128"/>
      <c r="B2" s="128"/>
      <c r="C2" s="186" t="s">
        <v>1407</v>
      </c>
      <c r="D2" s="160"/>
      <c r="E2" s="160"/>
      <c r="F2" s="160"/>
      <c r="G2" s="128"/>
      <c r="H2" s="128"/>
      <c r="I2" s="128"/>
      <c r="J2" s="186" t="s">
        <v>1407</v>
      </c>
      <c r="K2" s="160"/>
      <c r="L2" s="160"/>
      <c r="M2" s="160"/>
      <c r="N2" s="128"/>
      <c r="O2" s="128"/>
      <c r="P2" s="128"/>
      <c r="Q2" s="186" t="s">
        <v>1407</v>
      </c>
      <c r="R2" s="160"/>
      <c r="S2" s="160"/>
      <c r="T2" s="160"/>
      <c r="U2" s="128"/>
      <c r="V2" s="128"/>
    </row>
    <row r="3" spans="1:22" ht="50" customHeight="1" outlineLevel="1" x14ac:dyDescent="0.15">
      <c r="A3" s="129"/>
      <c r="B3" s="129"/>
      <c r="C3" s="187" t="str">
        <f ca="1">IFERROR(__xludf.DUMMYFUNCTION("IFERROR(UNIQUE(FILTER('Competency Learning Paths'!N:N,'Competency Learning Paths'!A:A= C1)))"),"Financial Acumen, Financial Decision-Making, Financial Management")</f>
        <v>Financial Acumen, Financial Decision-Making, Financial Management</v>
      </c>
      <c r="D3" s="160"/>
      <c r="E3" s="160"/>
      <c r="F3" s="160"/>
      <c r="G3" s="129"/>
      <c r="H3" s="129"/>
      <c r="I3" s="129"/>
      <c r="J3" s="187" t="str">
        <f ca="1">IFERROR(__xludf.DUMMYFUNCTION("IFERROR(UNIQUE(FILTER('Competency Learning Paths'!N:N,'Competency Learning Paths'!A:A= J1)))"),"Strategic Positioner, Credible Activist, Paradox Navigator, Culture and Change Champion, Total Reward Steward, Compliance Manager, Business Acumen, Human Resource Expertise, Relationship Management, Consultation, Leadership and Navigation, Global and Cult"&amp;"ural Effectiveness, Ethical Practice, Critical Evaluation")</f>
        <v>Strategic Positioner, Credible Activist, Paradox Navigator, Culture and Change Champion, Total Reward Steward, Compliance Manager, Business Acumen, Human Resource Expertise, Relationship Management, Consultation, Leadership and Navigation, Global and Cultural Effectiveness, Ethical Practice, Critical Evaluation</v>
      </c>
      <c r="K3" s="160"/>
      <c r="L3" s="160"/>
      <c r="M3" s="160"/>
      <c r="N3" s="129"/>
      <c r="O3" s="129"/>
      <c r="P3" s="129"/>
      <c r="Q3" s="187" t="str">
        <f ca="1">IFERROR(__xludf.DUMMYFUNCTION("IFERROR(UNIQUE(FILTER('Competency Learning Paths'!N:N,'Competency Learning Paths'!A:A= Q1)))"),"Artificial intelligence (AI), development of 'thinking' computer systems. expert system, systems can learn from data, foundational science and technologies")</f>
        <v>Artificial intelligence (AI), development of 'thinking' computer systems. expert system, systems can learn from data, foundational science and technologies</v>
      </c>
      <c r="R3" s="160"/>
      <c r="S3" s="160"/>
      <c r="T3" s="160"/>
      <c r="U3" s="129"/>
      <c r="V3" s="129"/>
    </row>
    <row r="4" spans="1:22" ht="16" outlineLevel="1" x14ac:dyDescent="0.15">
      <c r="A4" s="130"/>
      <c r="B4" s="131"/>
      <c r="C4" s="132" t="str">
        <f ca="1">IFERROR(__xludf.DUMMYFUNCTION("FILTER('All Competencies'!B:B,'All Competencies'!A:A=C1)"),"Course IDs")</f>
        <v>Course IDs</v>
      </c>
      <c r="D4" s="132" t="str">
        <f ca="1">IFERROR(__xludf.DUMMYFUNCTION("FILTER('All Competencies'!C:C,'All Competencies'!A:A=C1)"),"Level")</f>
        <v>Level</v>
      </c>
      <c r="E4" s="132" t="str">
        <f ca="1">IFERROR(__xludf.DUMMYFUNCTION("FILTER('All Competencies'!D:D,'All Competencies'!A:A=C1)"),"Courses")</f>
        <v>Courses</v>
      </c>
      <c r="F4" s="132" t="str">
        <f ca="1">IFERROR(__xludf.DUMMYFUNCTION("FILTER('All Competencies'!E:E,'All Competencies'!A:A=C1)"),"Learning Paths")</f>
        <v>Learning Paths</v>
      </c>
      <c r="G4" s="133"/>
      <c r="H4" s="131"/>
      <c r="I4" s="130"/>
      <c r="J4" s="132" t="str">
        <f ca="1">IFERROR(__xludf.DUMMYFUNCTION("FILTER('All Competencies'!B:B,'All Competencies'!A:A=J1)"),"Course IDs")</f>
        <v>Course IDs</v>
      </c>
      <c r="K4" s="132" t="str">
        <f ca="1">IFERROR(__xludf.DUMMYFUNCTION("FILTER('All Competencies'!C:C,'All Competencies'!A:A=J1)"),"Level")</f>
        <v>Level</v>
      </c>
      <c r="L4" s="132" t="str">
        <f ca="1">IFERROR(__xludf.DUMMYFUNCTION("FILTER('All Competencies'!D:D,'All Competencies'!A:A=J1)"),"Courses")</f>
        <v>Courses</v>
      </c>
      <c r="M4" s="132" t="str">
        <f ca="1">IFERROR(__xludf.DUMMYFUNCTION("FILTER('All Competencies'!E:E,'All Competencies'!A:A=J1)"),"Learning Paths")</f>
        <v>Learning Paths</v>
      </c>
      <c r="N4" s="133"/>
      <c r="O4" s="131"/>
      <c r="P4" s="130"/>
      <c r="Q4" s="132" t="str">
        <f ca="1">IFERROR(__xludf.DUMMYFUNCTION("FILTER('All Competencies'!B:B,'All Competencies'!A:A=Q1)"),"Course IDs")</f>
        <v>Course IDs</v>
      </c>
      <c r="R4" s="132" t="str">
        <f ca="1">IFERROR(__xludf.DUMMYFUNCTION("FILTER('All Competencies'!C:C,'All Competencies'!A:A=Q1)"),"Level")</f>
        <v>Level</v>
      </c>
      <c r="S4" s="132" t="str">
        <f ca="1">IFERROR(__xludf.DUMMYFUNCTION("FILTER('All Competencies'!D:D,'All Competencies'!A:A=Q1)"),"Courses")</f>
        <v>Courses</v>
      </c>
      <c r="T4" s="132" t="str">
        <f ca="1">IFERROR(__xludf.DUMMYFUNCTION("FILTER('All Competencies'!E:E,'All Competencies'!A:A=Q1)"),"Learning Paths")</f>
        <v>Learning Paths</v>
      </c>
      <c r="U4" s="133"/>
      <c r="V4" s="130"/>
    </row>
    <row r="5" spans="1:22" ht="33.75" customHeight="1" x14ac:dyDescent="0.15">
      <c r="A5" s="134"/>
      <c r="B5" s="134"/>
      <c r="C5" s="135">
        <f ca="1">IFERROR(__xludf.DUMMYFUNCTION("""COMPUTED_VALUE"""),664827)</f>
        <v>664827</v>
      </c>
      <c r="D5" s="135" t="str">
        <f ca="1">IFERROR(__xludf.DUMMYFUNCTION("""COMPUTED_VALUE"""),"Advanced")</f>
        <v>Advanced</v>
      </c>
      <c r="E5" s="136" t="str">
        <f ca="1">IFERROR(__xludf.DUMMYFUNCTION("""COMPUTED_VALUE"""),"Business Analytics: Forecasting with Exponential Smoothing")</f>
        <v>Business Analytics: Forecasting with Exponential Smoothing</v>
      </c>
      <c r="F5" s="137" t="str">
        <f ca="1">IFERROR(__xludf.DUMMYFUNCTION("""COMPUTED_VALUE"""),"Become a Bookkeeper")</f>
        <v>Become a Bookkeeper</v>
      </c>
      <c r="G5" s="134"/>
      <c r="H5" s="134"/>
      <c r="I5" s="134"/>
      <c r="J5" s="135">
        <f ca="1">IFERROR(__xludf.DUMMYFUNCTION("""COMPUTED_VALUE"""),570964)</f>
        <v>570964</v>
      </c>
      <c r="K5" s="135" t="str">
        <f ca="1">IFERROR(__xludf.DUMMYFUNCTION("""COMPUTED_VALUE"""),"Advanced")</f>
        <v>Advanced</v>
      </c>
      <c r="L5" s="136" t="str">
        <f ca="1">IFERROR(__xludf.DUMMYFUNCTION("""COMPUTED_VALUE"""),"Employee Engagement")</f>
        <v>Employee Engagement</v>
      </c>
      <c r="M5" s="137" t="str">
        <f ca="1">IFERROR(__xludf.DUMMYFUNCTION("""COMPUTED_VALUE"""),"Become a Corporate Recruiter")</f>
        <v>Become a Corporate Recruiter</v>
      </c>
      <c r="N5" s="134"/>
      <c r="O5" s="134"/>
      <c r="P5" s="134"/>
      <c r="Q5" s="135">
        <f ca="1">IFERROR(__xludf.DUMMYFUNCTION("""COMPUTED_VALUE"""),751330)</f>
        <v>751330</v>
      </c>
      <c r="R5" s="135" t="str">
        <f ca="1">IFERROR(__xludf.DUMMYFUNCTION("""COMPUTED_VALUE"""),"Advanced")</f>
        <v>Advanced</v>
      </c>
      <c r="S5" s="136" t="str">
        <f ca="1">IFERROR(__xludf.DUMMYFUNCTION("""COMPUTED_VALUE"""),"Penetration Testing: Advanced Web Testing")</f>
        <v>Penetration Testing: Advanced Web Testing</v>
      </c>
      <c r="T5" s="137" t="str">
        <f ca="1">IFERROR(__xludf.DUMMYFUNCTION("""COMPUTED_VALUE"""),"Advance Your Skills as an Azure IT Administrator")</f>
        <v>Advance Your Skills as an Azure IT Administrator</v>
      </c>
      <c r="U5" s="134"/>
      <c r="V5" s="134"/>
    </row>
    <row r="6" spans="1:22" ht="33.75" customHeight="1" x14ac:dyDescent="0.15">
      <c r="A6" s="134"/>
      <c r="B6" s="134"/>
      <c r="C6" s="138">
        <f ca="1">IFERROR(__xludf.DUMMYFUNCTION("""COMPUTED_VALUE"""),728402)</f>
        <v>728402</v>
      </c>
      <c r="D6" s="138" t="str">
        <f ca="1">IFERROR(__xludf.DUMMYFUNCTION("""COMPUTED_VALUE"""),"Advanced")</f>
        <v>Advanced</v>
      </c>
      <c r="E6" s="139" t="str">
        <f ca="1">IFERROR(__xludf.DUMMYFUNCTION("""COMPUTED_VALUE"""),"Business Analytics: Forecasting with Seasonal Baseline Smoothing")</f>
        <v>Business Analytics: Forecasting with Seasonal Baseline Smoothing</v>
      </c>
      <c r="F6" s="140" t="str">
        <f ca="1">IFERROR(__xludf.DUMMYFUNCTION("""COMPUTED_VALUE"""),"Become a Corporate Financial Planning Analyst")</f>
        <v>Become a Corporate Financial Planning Analyst</v>
      </c>
      <c r="G6" s="134"/>
      <c r="H6" s="134"/>
      <c r="I6" s="134"/>
      <c r="J6" s="138">
        <f ca="1">IFERROR(__xludf.DUMMYFUNCTION("""COMPUTED_VALUE"""),548771)</f>
        <v>548771</v>
      </c>
      <c r="K6" s="138" t="str">
        <f ca="1">IFERROR(__xludf.DUMMYFUNCTION("""COMPUTED_VALUE"""),"Advanced")</f>
        <v>Advanced</v>
      </c>
      <c r="L6" s="139" t="str">
        <f ca="1">IFERROR(__xludf.DUMMYFUNCTION("""COMPUTED_VALUE"""),"Hiring and Developing Your Future Workforce")</f>
        <v>Hiring and Developing Your Future Workforce</v>
      </c>
      <c r="M6" s="140" t="str">
        <f ca="1">IFERROR(__xludf.DUMMYFUNCTION("""COMPUTED_VALUE"""),"Become a Technical Recruiter")</f>
        <v>Become a Technical Recruiter</v>
      </c>
      <c r="N6" s="134"/>
      <c r="O6" s="134"/>
      <c r="P6" s="134"/>
      <c r="Q6" s="138">
        <f ca="1">IFERROR(__xludf.DUMMYFUNCTION("""COMPUTED_VALUE"""),653239)</f>
        <v>653239</v>
      </c>
      <c r="R6" s="138" t="str">
        <f ca="1">IFERROR(__xludf.DUMMYFUNCTION("""COMPUTED_VALUE"""),"Advanced")</f>
        <v>Advanced</v>
      </c>
      <c r="S6" s="139" t="str">
        <f ca="1">IFERROR(__xludf.DUMMYFUNCTION("""COMPUTED_VALUE"""),"CISSP Cert Prep: 5 Identity and Access Management")</f>
        <v>CISSP Cert Prep: 5 Identity and Access Management</v>
      </c>
      <c r="T6" s="140" t="str">
        <f ca="1">IFERROR(__xludf.DUMMYFUNCTION("""COMPUTED_VALUE"""),"Advance your Skills as an IT Help Desk Specialist")</f>
        <v>Advance your Skills as an IT Help Desk Specialist</v>
      </c>
      <c r="U6" s="134"/>
      <c r="V6" s="134"/>
    </row>
    <row r="7" spans="1:22" ht="33.75" customHeight="1" x14ac:dyDescent="0.15">
      <c r="A7" s="134"/>
      <c r="B7" s="134"/>
      <c r="C7" s="138">
        <f ca="1">IFERROR(__xludf.DUMMYFUNCTION("""COMPUTED_VALUE"""),728374)</f>
        <v>728374</v>
      </c>
      <c r="D7" s="138" t="str">
        <f ca="1">IFERROR(__xludf.DUMMYFUNCTION("""COMPUTED_VALUE"""),"Advanced")</f>
        <v>Advanced</v>
      </c>
      <c r="E7" s="139" t="str">
        <f ca="1">IFERROR(__xludf.DUMMYFUNCTION("""COMPUTED_VALUE"""),"Business Intelligence for Consultants")</f>
        <v>Business Intelligence for Consultants</v>
      </c>
      <c r="F7" s="140" t="str">
        <f ca="1">IFERROR(__xludf.DUMMYFUNCTION("""COMPUTED_VALUE"""),"Become a Financial Analyst")</f>
        <v>Become a Financial Analyst</v>
      </c>
      <c r="G7" s="134"/>
      <c r="H7" s="134"/>
      <c r="I7" s="134"/>
      <c r="J7" s="138">
        <f ca="1">IFERROR(__xludf.DUMMYFUNCTION("""COMPUTED_VALUE"""),659275)</f>
        <v>659275</v>
      </c>
      <c r="K7" s="138" t="str">
        <f ca="1">IFERROR(__xludf.DUMMYFUNCTION("""COMPUTED_VALUE"""),"Advanced")</f>
        <v>Advanced</v>
      </c>
      <c r="L7" s="139" t="str">
        <f ca="1">IFERROR(__xludf.DUMMYFUNCTION("""COMPUTED_VALUE"""),"Human Resources: Building a Performance Management System")</f>
        <v>Human Resources: Building a Performance Management System</v>
      </c>
      <c r="M7" s="140" t="str">
        <f ca="1">IFERROR(__xludf.DUMMYFUNCTION("""COMPUTED_VALUE"""),"Become an External Recruiter")</f>
        <v>Become an External Recruiter</v>
      </c>
      <c r="N7" s="134"/>
      <c r="O7" s="134"/>
      <c r="P7" s="134"/>
      <c r="Q7" s="138">
        <f ca="1">IFERROR(__xludf.DUMMYFUNCTION("""COMPUTED_VALUE"""),531463)</f>
        <v>531463</v>
      </c>
      <c r="R7" s="138" t="str">
        <f ca="1">IFERROR(__xludf.DUMMYFUNCTION("""COMPUTED_VALUE"""),"Advanced")</f>
        <v>Advanced</v>
      </c>
      <c r="S7" s="139" t="str">
        <f ca="1">IFERROR(__xludf.DUMMYFUNCTION("""COMPUTED_VALUE"""),"Machine Learning &amp; AI: Advanced Decision Trees")</f>
        <v>Machine Learning &amp; AI: Advanced Decision Trees</v>
      </c>
      <c r="T7" s="140" t="str">
        <f ca="1">IFERROR(__xludf.DUMMYFUNCTION("""COMPUTED_VALUE"""),"Advance Your Skills in AI and Machine Learning")</f>
        <v>Advance Your Skills in AI and Machine Learning</v>
      </c>
      <c r="U7" s="134"/>
      <c r="V7" s="134"/>
    </row>
    <row r="8" spans="1:22" ht="33.75" customHeight="1" x14ac:dyDescent="0.15">
      <c r="A8" s="134"/>
      <c r="B8" s="134"/>
      <c r="C8" s="138">
        <f ca="1">IFERROR(__xludf.DUMMYFUNCTION("""COMPUTED_VALUE"""),2823067)</f>
        <v>2823067</v>
      </c>
      <c r="D8" s="138" t="str">
        <f ca="1">IFERROR(__xludf.DUMMYFUNCTION("""COMPUTED_VALUE"""),"Advanced")</f>
        <v>Advanced</v>
      </c>
      <c r="E8" s="139" t="str">
        <f ca="1">IFERROR(__xludf.DUMMYFUNCTION("""COMPUTED_VALUE"""),"Accounting Foundations: Asset Impairment")</f>
        <v>Accounting Foundations: Asset Impairment</v>
      </c>
      <c r="F8" s="140" t="str">
        <f ca="1">IFERROR(__xludf.DUMMYFUNCTION("""COMPUTED_VALUE"""),"Become a Small Business Owner")</f>
        <v>Become a Small Business Owner</v>
      </c>
      <c r="G8" s="134"/>
      <c r="H8" s="134"/>
      <c r="I8" s="134"/>
      <c r="J8" s="138">
        <f ca="1">IFERROR(__xludf.DUMMYFUNCTION("""COMPUTED_VALUE"""),651190)</f>
        <v>651190</v>
      </c>
      <c r="K8" s="138" t="str">
        <f ca="1">IFERROR(__xludf.DUMMYFUNCTION("""COMPUTED_VALUE"""),"Advanced")</f>
        <v>Advanced</v>
      </c>
      <c r="L8" s="139" t="str">
        <f ca="1">IFERROR(__xludf.DUMMYFUNCTION("""COMPUTED_VALUE"""),"Human Resources: Leadership and Strategic Impact")</f>
        <v>Human Resources: Leadership and Strategic Impact</v>
      </c>
      <c r="M8" s="140" t="str">
        <f ca="1">IFERROR(__xludf.DUMMYFUNCTION("""COMPUTED_VALUE"""),"Become an HR Business Partner")</f>
        <v>Become an HR Business Partner</v>
      </c>
      <c r="N8" s="134"/>
      <c r="O8" s="134"/>
      <c r="P8" s="134"/>
      <c r="Q8" s="138">
        <f ca="1">IFERROR(__xludf.DUMMYFUNCTION("""COMPUTED_VALUE"""),2822405)</f>
        <v>2822405</v>
      </c>
      <c r="R8" s="138" t="str">
        <f ca="1">IFERROR(__xludf.DUMMYFUNCTION("""COMPUTED_VALUE"""),"Advanced")</f>
        <v>Advanced</v>
      </c>
      <c r="S8" s="139" t="str">
        <f ca="1">IFERROR(__xludf.DUMMYFUNCTION("""COMPUTED_VALUE"""),"Advanced NLP with Python for Machine Learning")</f>
        <v>Advanced NLP with Python for Machine Learning</v>
      </c>
      <c r="T8" s="140" t="str">
        <f ca="1">IFERROR(__xludf.DUMMYFUNCTION("""COMPUTED_VALUE"""),"Advance Your Skills in Deep Learning and Neural Networks")</f>
        <v>Advance Your Skills in Deep Learning and Neural Networks</v>
      </c>
      <c r="U8" s="134"/>
      <c r="V8" s="134"/>
    </row>
    <row r="9" spans="1:22" ht="33.75" customHeight="1" x14ac:dyDescent="0.15">
      <c r="A9" s="134"/>
      <c r="B9" s="134"/>
      <c r="C9" s="138">
        <f ca="1">IFERROR(__xludf.DUMMYFUNCTION("""COMPUTED_VALUE"""),2871251)</f>
        <v>2871251</v>
      </c>
      <c r="D9" s="138" t="str">
        <f ca="1">IFERROR(__xludf.DUMMYFUNCTION("""COMPUTED_VALUE"""),"Beginner")</f>
        <v>Beginner</v>
      </c>
      <c r="E9" s="139" t="str">
        <f ca="1">IFERROR(__xludf.DUMMYFUNCTION("""COMPUTED_VALUE"""),"The Five-step Guide to Mastering Your Money")</f>
        <v>The Five-step Guide to Mastering Your Money</v>
      </c>
      <c r="F9" s="140" t="str">
        <f ca="1">IFERROR(__xludf.DUMMYFUNCTION("""COMPUTED_VALUE"""),"Become an Accounts Payable Officer")</f>
        <v>Become an Accounts Payable Officer</v>
      </c>
      <c r="G9" s="134"/>
      <c r="H9" s="134"/>
      <c r="I9" s="134"/>
      <c r="J9" s="138">
        <f ca="1">IFERROR(__xludf.DUMMYFUNCTION("""COMPUTED_VALUE"""),639058)</f>
        <v>639058</v>
      </c>
      <c r="K9" s="138" t="str">
        <f ca="1">IFERROR(__xludf.DUMMYFUNCTION("""COMPUTED_VALUE"""),"Advanced")</f>
        <v>Advanced</v>
      </c>
      <c r="L9" s="139" t="str">
        <f ca="1">IFERROR(__xludf.DUMMYFUNCTION("""COMPUTED_VALUE"""),"Human Resources: Selecting an HR System")</f>
        <v>Human Resources: Selecting an HR System</v>
      </c>
      <c r="M9" s="140" t="str">
        <f ca="1">IFERROR(__xludf.DUMMYFUNCTION("""COMPUTED_VALUE"""),"Develop Your HR Management and Leadership Skills")</f>
        <v>Develop Your HR Management and Leadership Skills</v>
      </c>
      <c r="N9" s="134"/>
      <c r="O9" s="134"/>
      <c r="P9" s="134"/>
      <c r="Q9" s="138">
        <f ca="1">IFERROR(__xludf.DUMMYFUNCTION("""COMPUTED_VALUE"""),2834021)</f>
        <v>2834021</v>
      </c>
      <c r="R9" s="138" t="str">
        <f ca="1">IFERROR(__xludf.DUMMYFUNCTION("""COMPUTED_VALUE"""),"Advanced")</f>
        <v>Advanced</v>
      </c>
      <c r="S9" s="139" t="str">
        <f ca="1">IFERROR(__xludf.DUMMYFUNCTION("""COMPUTED_VALUE"""),"Microsoft Power Apps: AI Builder")</f>
        <v>Microsoft Power Apps: AI Builder</v>
      </c>
      <c r="T9" s="140" t="str">
        <f ca="1">IFERROR(__xludf.DUMMYFUNCTION("""COMPUTED_VALUE"""),"Applying Lean, DevOps, and Agile to your IT Organization")</f>
        <v>Applying Lean, DevOps, and Agile to your IT Organization</v>
      </c>
      <c r="U9" s="134"/>
      <c r="V9" s="134"/>
    </row>
    <row r="10" spans="1:22" ht="33.75" customHeight="1" x14ac:dyDescent="0.15">
      <c r="A10" s="134"/>
      <c r="B10" s="134"/>
      <c r="C10" s="138">
        <f ca="1">IFERROR(__xludf.DUMMYFUNCTION("""COMPUTED_VALUE"""),2848324)</f>
        <v>2848324</v>
      </c>
      <c r="D10" s="138" t="str">
        <f ca="1">IFERROR(__xludf.DUMMYFUNCTION("""COMPUTED_VALUE"""),"Beginner")</f>
        <v>Beginner</v>
      </c>
      <c r="E10" s="139" t="str">
        <f ca="1">IFERROR(__xludf.DUMMYFUNCTION("""COMPUTED_VALUE"""),"Financial Adulting")</f>
        <v>Financial Adulting</v>
      </c>
      <c r="F10" s="150" t="str">
        <f ca="1">IFERROR(__xludf.DUMMYFUNCTION("""COMPUTED_VALUE"""),"Develop Your Finance and Accounting Skills")</f>
        <v>Develop Your Finance and Accounting Skills</v>
      </c>
      <c r="G10" s="134"/>
      <c r="H10" s="134"/>
      <c r="I10" s="134"/>
      <c r="J10" s="138">
        <f ca="1">IFERROR(__xludf.DUMMYFUNCTION("""COMPUTED_VALUE"""),669536)</f>
        <v>669536</v>
      </c>
      <c r="K10" s="138" t="str">
        <f ca="1">IFERROR(__xludf.DUMMYFUNCTION("""COMPUTED_VALUE"""),"Advanced")</f>
        <v>Advanced</v>
      </c>
      <c r="L10" s="139" t="str">
        <f ca="1">IFERROR(__xludf.DUMMYFUNCTION("""COMPUTED_VALUE"""),"Human Resources: Strategic Workforce Planning")</f>
        <v>Human Resources: Strategic Workforce Planning</v>
      </c>
      <c r="M10" s="150" t="str">
        <f ca="1">IFERROR(__xludf.DUMMYFUNCTION("""COMPUTED_VALUE"""),"Diversity, Inclusion, and Belonging for HR Professionals and Leaders")</f>
        <v>Diversity, Inclusion, and Belonging for HR Professionals and Leaders</v>
      </c>
      <c r="N10" s="134"/>
      <c r="O10" s="134"/>
      <c r="P10" s="134"/>
      <c r="Q10" s="138">
        <f ca="1">IFERROR(__xludf.DUMMYFUNCTION("""COMPUTED_VALUE"""),2807864)</f>
        <v>2807864</v>
      </c>
      <c r="R10" s="138" t="str">
        <f ca="1">IFERROR(__xludf.DUMMYFUNCTION("""COMPUTED_VALUE"""),"Beginner")</f>
        <v>Beginner</v>
      </c>
      <c r="S10" s="139" t="str">
        <f ca="1">IFERROR(__xludf.DUMMYFUNCTION("""COMPUTED_VALUE"""),"Learning System Center Configuration Manager")</f>
        <v>Learning System Center Configuration Manager</v>
      </c>
      <c r="T10" s="150" t="str">
        <f ca="1">IFERROR(__xludf.DUMMYFUNCTION("""COMPUTED_VALUE"""),"Become a C++ Developer")</f>
        <v>Become a C++ Developer</v>
      </c>
      <c r="U10" s="134"/>
      <c r="V10" s="134"/>
    </row>
    <row r="11" spans="1:22" ht="33.75" customHeight="1" x14ac:dyDescent="0.15">
      <c r="A11" s="134"/>
      <c r="B11" s="134"/>
      <c r="C11" s="138">
        <f ca="1">IFERROR(__xludf.DUMMYFUNCTION("""COMPUTED_VALUE"""),2849263)</f>
        <v>2849263</v>
      </c>
      <c r="D11" s="138" t="str">
        <f ca="1">IFERROR(__xludf.DUMMYFUNCTION("""COMPUTED_VALUE"""),"Beginner")</f>
        <v>Beginner</v>
      </c>
      <c r="E11" s="139" t="str">
        <f ca="1">IFERROR(__xludf.DUMMYFUNCTION("""COMPUTED_VALUE"""),"SAP ERP Essential Training")</f>
        <v>SAP ERP Essential Training</v>
      </c>
      <c r="F11" s="140" t="str">
        <f ca="1">IFERROR(__xludf.DUMMYFUNCTION("""COMPUTED_VALUE"""),"Get Ahead in the On-Demand Gig Economy")</f>
        <v>Get Ahead in the On-Demand Gig Economy</v>
      </c>
      <c r="G11" s="134"/>
      <c r="H11" s="134"/>
      <c r="I11" s="134"/>
      <c r="J11" s="138">
        <f ca="1">IFERROR(__xludf.DUMMYFUNCTION("""COMPUTED_VALUE"""),639057)</f>
        <v>639057</v>
      </c>
      <c r="K11" s="138" t="str">
        <f ca="1">IFERROR(__xludf.DUMMYFUNCTION("""COMPUTED_VALUE"""),"Advanced")</f>
        <v>Advanced</v>
      </c>
      <c r="L11" s="139" t="str">
        <f ca="1">IFERROR(__xludf.DUMMYFUNCTION("""COMPUTED_VALUE"""),"Human Resources: Understanding HR Systems Features and Benefits")</f>
        <v>Human Resources: Understanding HR Systems Features and Benefits</v>
      </c>
      <c r="M11" s="140" t="str">
        <f ca="1">IFERROR(__xludf.DUMMYFUNCTION("""COMPUTED_VALUE"""),"Finding and Retaining Talent")</f>
        <v>Finding and Retaining Talent</v>
      </c>
      <c r="N11" s="134"/>
      <c r="O11" s="134"/>
      <c r="P11" s="134"/>
      <c r="Q11" s="138">
        <f ca="1">IFERROR(__xludf.DUMMYFUNCTION("""COMPUTED_VALUE"""),772323)</f>
        <v>772323</v>
      </c>
      <c r="R11" s="138" t="str">
        <f ca="1">IFERROR(__xludf.DUMMYFUNCTION("""COMPUTED_VALUE"""),"Beginner")</f>
        <v>Beginner</v>
      </c>
      <c r="S11" s="139" t="str">
        <f ca="1">IFERROR(__xludf.DUMMYFUNCTION("""COMPUTED_VALUE"""),"Learning Java Applications")</f>
        <v>Learning Java Applications</v>
      </c>
      <c r="T11" s="140" t="str">
        <f ca="1">IFERROR(__xludf.DUMMYFUNCTION("""COMPUTED_VALUE"""),"Become a Cloud Administrator")</f>
        <v>Become a Cloud Administrator</v>
      </c>
      <c r="U11" s="134"/>
      <c r="V11" s="134"/>
    </row>
    <row r="12" spans="1:22" ht="33.75" customHeight="1" x14ac:dyDescent="0.15">
      <c r="A12" s="134"/>
      <c r="B12" s="134"/>
      <c r="C12" s="138">
        <f ca="1">IFERROR(__xludf.DUMMYFUNCTION("""COMPUTED_VALUE"""),777378)</f>
        <v>777378</v>
      </c>
      <c r="D12" s="138" t="str">
        <f ca="1">IFERROR(__xludf.DUMMYFUNCTION("""COMPUTED_VALUE"""),"Beginner")</f>
        <v>Beginner</v>
      </c>
      <c r="E12" s="139" t="str">
        <f ca="1">IFERROR(__xludf.DUMMYFUNCTION("""COMPUTED_VALUE"""),"Accounting Foundations")</f>
        <v>Accounting Foundations</v>
      </c>
      <c r="F12" s="140" t="str">
        <f ca="1">IFERROR(__xludf.DUMMYFUNCTION("""COMPUTED_VALUE"""),"Stay Ahead in Personal Finance")</f>
        <v>Stay Ahead in Personal Finance</v>
      </c>
      <c r="G12" s="134"/>
      <c r="H12" s="134"/>
      <c r="I12" s="134"/>
      <c r="J12" s="138">
        <f ca="1">IFERROR(__xludf.DUMMYFUNCTION("""COMPUTED_VALUE"""),5022330)</f>
        <v>5022330</v>
      </c>
      <c r="K12" s="138" t="str">
        <f ca="1">IFERROR(__xludf.DUMMYFUNCTION("""COMPUTED_VALUE"""),"Advanced")</f>
        <v>Advanced</v>
      </c>
      <c r="L12" s="139" t="str">
        <f ca="1">IFERROR(__xludf.DUMMYFUNCTION("""COMPUTED_VALUE"""),"People Analytics")</f>
        <v>People Analytics</v>
      </c>
      <c r="M12" s="141"/>
      <c r="N12" s="134"/>
      <c r="O12" s="134"/>
      <c r="P12" s="134"/>
      <c r="Q12" s="138">
        <f ca="1">IFERROR(__xludf.DUMMYFUNCTION("""COMPUTED_VALUE"""),728391)</f>
        <v>728391</v>
      </c>
      <c r="R12" s="138" t="str">
        <f ca="1">IFERROR(__xludf.DUMMYFUNCTION("""COMPUTED_VALUE"""),"Beginner")</f>
        <v>Beginner</v>
      </c>
      <c r="S12" s="139" t="str">
        <f ca="1">IFERROR(__xludf.DUMMYFUNCTION("""COMPUTED_VALUE"""),"Test Automation Foundations")</f>
        <v>Test Automation Foundations</v>
      </c>
      <c r="T12" s="140" t="str">
        <f ca="1">IFERROR(__xludf.DUMMYFUNCTION("""COMPUTED_VALUE"""),"Become a Python Developer")</f>
        <v>Become a Python Developer</v>
      </c>
      <c r="U12" s="134"/>
      <c r="V12" s="134"/>
    </row>
    <row r="13" spans="1:22" ht="33.75" customHeight="1" x14ac:dyDescent="0.15">
      <c r="A13" s="134"/>
      <c r="B13" s="134"/>
      <c r="C13" s="138">
        <f ca="1">IFERROR(__xludf.DUMMYFUNCTION("""COMPUTED_VALUE"""),779741)</f>
        <v>779741</v>
      </c>
      <c r="D13" s="138" t="str">
        <f ca="1">IFERROR(__xludf.DUMMYFUNCTION("""COMPUTED_VALUE"""),"Beginner")</f>
        <v>Beginner</v>
      </c>
      <c r="E13" s="139" t="str">
        <f ca="1">IFERROR(__xludf.DUMMYFUNCTION("""COMPUTED_VALUE"""),"Accounting Foundations: Bookkeeping")</f>
        <v>Accounting Foundations: Bookkeeping</v>
      </c>
      <c r="F13" s="142"/>
      <c r="G13" s="134"/>
      <c r="H13" s="134"/>
      <c r="I13" s="134"/>
      <c r="J13" s="138">
        <f ca="1">IFERROR(__xludf.DUMMYFUNCTION("""COMPUTED_VALUE"""),688515)</f>
        <v>688515</v>
      </c>
      <c r="K13" s="138" t="str">
        <f ca="1">IFERROR(__xludf.DUMMYFUNCTION("""COMPUTED_VALUE"""),"Advanced")</f>
        <v>Advanced</v>
      </c>
      <c r="L13" s="139" t="str">
        <f ca="1">IFERROR(__xludf.DUMMYFUNCTION("""COMPUTED_VALUE"""),"Succession Planning")</f>
        <v>Succession Planning</v>
      </c>
      <c r="M13" s="142"/>
      <c r="N13" s="134"/>
      <c r="O13" s="134"/>
      <c r="P13" s="134"/>
      <c r="Q13" s="138">
        <f ca="1">IFERROR(__xludf.DUMMYFUNCTION("""COMPUTED_VALUE"""),746311)</f>
        <v>746311</v>
      </c>
      <c r="R13" s="138" t="str">
        <f ca="1">IFERROR(__xludf.DUMMYFUNCTION("""COMPUTED_VALUE"""),"Beginner")</f>
        <v>Beginner</v>
      </c>
      <c r="S13" s="139" t="str">
        <f ca="1">IFERROR(__xludf.DUMMYFUNCTION("""COMPUTED_VALUE"""),"Introducing Robotic Process Automation")</f>
        <v>Introducing Robotic Process Automation</v>
      </c>
      <c r="T13" s="150" t="str">
        <f ca="1">IFERROR(__xludf.DUMMYFUNCTION("""COMPUTED_VALUE"""),"Become an AI and Machine Learning Specialist Part 2")</f>
        <v>Become an AI and Machine Learning Specialist Part 2</v>
      </c>
      <c r="U13" s="134"/>
      <c r="V13" s="134"/>
    </row>
    <row r="14" spans="1:22" ht="33.75" customHeight="1" x14ac:dyDescent="0.15">
      <c r="A14" s="134"/>
      <c r="B14" s="134"/>
      <c r="C14" s="138">
        <f ca="1">IFERROR(__xludf.DUMMYFUNCTION("""COMPUTED_VALUE"""),779742)</f>
        <v>779742</v>
      </c>
      <c r="D14" s="138" t="str">
        <f ca="1">IFERROR(__xludf.DUMMYFUNCTION("""COMPUTED_VALUE"""),"Beginner")</f>
        <v>Beginner</v>
      </c>
      <c r="E14" s="139" t="str">
        <f ca="1">IFERROR(__xludf.DUMMYFUNCTION("""COMPUTED_VALUE"""),"Accounting Foundations: Budgeting")</f>
        <v>Accounting Foundations: Budgeting</v>
      </c>
      <c r="F14" s="141"/>
      <c r="G14" s="134"/>
      <c r="H14" s="134"/>
      <c r="I14" s="134"/>
      <c r="J14" s="138">
        <f ca="1">IFERROR(__xludf.DUMMYFUNCTION("""COMPUTED_VALUE"""),2812133)</f>
        <v>2812133</v>
      </c>
      <c r="K14" s="138" t="str">
        <f ca="1">IFERROR(__xludf.DUMMYFUNCTION("""COMPUTED_VALUE"""),"Advanced")</f>
        <v>Advanced</v>
      </c>
      <c r="L14" s="139" t="str">
        <f ca="1">IFERROR(__xludf.DUMMYFUNCTION("""COMPUTED_VALUE"""),"Using Neuroscience for More Effective L&amp;D")</f>
        <v>Using Neuroscience for More Effective L&amp;D</v>
      </c>
      <c r="M14" s="141"/>
      <c r="N14" s="134"/>
      <c r="O14" s="134"/>
      <c r="P14" s="134"/>
      <c r="Q14" s="138">
        <f ca="1">IFERROR(__xludf.DUMMYFUNCTION("""COMPUTED_VALUE"""),5035815)</f>
        <v>5035815</v>
      </c>
      <c r="R14" s="138" t="str">
        <f ca="1">IFERROR(__xludf.DUMMYFUNCTION("""COMPUTED_VALUE"""),"Beginner")</f>
        <v>Beginner</v>
      </c>
      <c r="S14" s="139" t="str">
        <f ca="1">IFERROR(__xludf.DUMMYFUNCTION("""COMPUTED_VALUE"""),"Learning Cloud Computing: Core Concepts")</f>
        <v>Learning Cloud Computing: Core Concepts</v>
      </c>
      <c r="T14" s="140" t="str">
        <f ca="1">IFERROR(__xludf.DUMMYFUNCTION("""COMPUTED_VALUE"""),"Become an AWS Data and DevOps Specialist")</f>
        <v>Become an AWS Data and DevOps Specialist</v>
      </c>
      <c r="U14" s="134"/>
      <c r="V14" s="134"/>
    </row>
    <row r="15" spans="1:22" ht="33.75" customHeight="1" x14ac:dyDescent="0.15">
      <c r="A15" s="134"/>
      <c r="B15" s="134"/>
      <c r="C15" s="138">
        <f ca="1">IFERROR(__xludf.DUMMYFUNCTION("""COMPUTED_VALUE"""),699335)</f>
        <v>699335</v>
      </c>
      <c r="D15" s="138" t="str">
        <f ca="1">IFERROR(__xludf.DUMMYFUNCTION("""COMPUTED_VALUE"""),"Beginner")</f>
        <v>Beginner</v>
      </c>
      <c r="E15" s="139" t="str">
        <f ca="1">IFERROR(__xludf.DUMMYFUNCTION("""COMPUTED_VALUE"""),"Audit and Due Diligence Foundations")</f>
        <v>Audit and Due Diligence Foundations</v>
      </c>
      <c r="F15" s="141"/>
      <c r="G15" s="134"/>
      <c r="H15" s="134"/>
      <c r="I15" s="134"/>
      <c r="J15" s="138">
        <f ca="1">IFERROR(__xludf.DUMMYFUNCTION("""COMPUTED_VALUE"""),2820164)</f>
        <v>2820164</v>
      </c>
      <c r="K15" s="138" t="str">
        <f ca="1">IFERROR(__xludf.DUMMYFUNCTION("""COMPUTED_VALUE"""),"Advanced")</f>
        <v>Advanced</v>
      </c>
      <c r="L15" s="139" t="str">
        <f ca="1">IFERROR(__xludf.DUMMYFUNCTION("""COMPUTED_VALUE"""),"Human Resources: Pay Strategy")</f>
        <v>Human Resources: Pay Strategy</v>
      </c>
      <c r="M15" s="141"/>
      <c r="N15" s="134"/>
      <c r="O15" s="134"/>
      <c r="P15" s="134"/>
      <c r="Q15" s="138">
        <f ca="1">IFERROR(__xludf.DUMMYFUNCTION("""COMPUTED_VALUE"""),5025102)</f>
        <v>5025102</v>
      </c>
      <c r="R15" s="138" t="str">
        <f ca="1">IFERROR(__xludf.DUMMYFUNCTION("""COMPUTED_VALUE"""),"Beginner")</f>
        <v>Beginner</v>
      </c>
      <c r="S15" s="139" t="str">
        <f ca="1">IFERROR(__xludf.DUMMYFUNCTION("""COMPUTED_VALUE"""),"AWS Administration: Tips and Tricks")</f>
        <v>AWS Administration: Tips and Tricks</v>
      </c>
      <c r="T15" s="140" t="str">
        <f ca="1">IFERROR(__xludf.DUMMYFUNCTION("""COMPUTED_VALUE"""),"Become an IT Security Specialist")</f>
        <v>Become an IT Security Specialist</v>
      </c>
      <c r="U15" s="134"/>
      <c r="V15" s="134"/>
    </row>
    <row r="16" spans="1:22" ht="33.75" customHeight="1" x14ac:dyDescent="0.15">
      <c r="A16" s="134"/>
      <c r="B16" s="134"/>
      <c r="C16" s="138">
        <f ca="1">IFERROR(__xludf.DUMMYFUNCTION("""COMPUTED_VALUE"""),786356)</f>
        <v>786356</v>
      </c>
      <c r="D16" s="138" t="str">
        <f ca="1">IFERROR(__xludf.DUMMYFUNCTION("""COMPUTED_VALUE"""),"Beginner")</f>
        <v>Beginner</v>
      </c>
      <c r="E16" s="139" t="str">
        <f ca="1">IFERROR(__xludf.DUMMYFUNCTION("""COMPUTED_VALUE"""),"Business Tax Foundations")</f>
        <v>Business Tax Foundations</v>
      </c>
      <c r="F16" s="141"/>
      <c r="G16" s="134"/>
      <c r="H16" s="134"/>
      <c r="I16" s="134"/>
      <c r="J16" s="138">
        <f ca="1">IFERROR(__xludf.DUMMYFUNCTION("""COMPUTED_VALUE"""),2975163)</f>
        <v>2975163</v>
      </c>
      <c r="K16" s="138" t="str">
        <f ca="1">IFERROR(__xludf.DUMMYFUNCTION("""COMPUTED_VALUE"""),"Advanced")</f>
        <v>Advanced</v>
      </c>
      <c r="L16" s="139" t="str">
        <f ca="1">IFERROR(__xludf.DUMMYFUNCTION("""COMPUTED_VALUE"""),"Crisis Communication for HR")</f>
        <v>Crisis Communication for HR</v>
      </c>
      <c r="M16" s="141"/>
      <c r="N16" s="134"/>
      <c r="O16" s="134"/>
      <c r="P16" s="134"/>
      <c r="Q16" s="138">
        <f ca="1">IFERROR(__xludf.DUMMYFUNCTION("""COMPUTED_VALUE"""),806167)</f>
        <v>806167</v>
      </c>
      <c r="R16" s="138" t="str">
        <f ca="1">IFERROR(__xludf.DUMMYFUNCTION("""COMPUTED_VALUE"""),"Beginner")</f>
        <v>Beginner</v>
      </c>
      <c r="S16" s="139" t="str">
        <f ca="1">IFERROR(__xludf.DUMMYFUNCTION("""COMPUTED_VALUE"""),"Applied Machine Learning: Algorithms")</f>
        <v>Applied Machine Learning: Algorithms</v>
      </c>
      <c r="T16" s="140" t="str">
        <f ca="1">IFERROR(__xludf.DUMMYFUNCTION("""COMPUTED_VALUE"""),"Become an IT Technician")</f>
        <v>Become an IT Technician</v>
      </c>
      <c r="U16" s="134"/>
      <c r="V16" s="134"/>
    </row>
    <row r="17" spans="1:22" ht="33.75" customHeight="1" x14ac:dyDescent="0.15">
      <c r="A17" s="134"/>
      <c r="B17" s="134"/>
      <c r="C17" s="138">
        <f ca="1">IFERROR(__xludf.DUMMYFUNCTION("""COMPUTED_VALUE"""),777379)</f>
        <v>777379</v>
      </c>
      <c r="D17" s="138" t="str">
        <f ca="1">IFERROR(__xludf.DUMMYFUNCTION("""COMPUTED_VALUE"""),"Beginner")</f>
        <v>Beginner</v>
      </c>
      <c r="E17" s="139" t="str">
        <f ca="1">IFERROR(__xludf.DUMMYFUNCTION("""COMPUTED_VALUE"""),"Finance Foundations")</f>
        <v>Finance Foundations</v>
      </c>
      <c r="F17" s="141"/>
      <c r="G17" s="134"/>
      <c r="H17" s="134"/>
      <c r="I17" s="134"/>
      <c r="J17" s="138">
        <f ca="1">IFERROR(__xludf.DUMMYFUNCTION("""COMPUTED_VALUE"""),2822467)</f>
        <v>2822467</v>
      </c>
      <c r="K17" s="138" t="str">
        <f ca="1">IFERROR(__xludf.DUMMYFUNCTION("""COMPUTED_VALUE"""),"Advanced")</f>
        <v>Advanced</v>
      </c>
      <c r="L17" s="139" t="str">
        <f ca="1">IFERROR(__xludf.DUMMYFUNCTION("""COMPUTED_VALUE"""),"Redefining Workplace Learning Analytics")</f>
        <v>Redefining Workplace Learning Analytics</v>
      </c>
      <c r="M17" s="141"/>
      <c r="N17" s="134"/>
      <c r="O17" s="134"/>
      <c r="P17" s="134"/>
      <c r="Q17" s="138">
        <f ca="1">IFERROR(__xludf.DUMMYFUNCTION("""COMPUTED_VALUE"""),601799)</f>
        <v>601799</v>
      </c>
      <c r="R17" s="138" t="str">
        <f ca="1">IFERROR(__xludf.DUMMYFUNCTION("""COMPUTED_VALUE"""),"Beginner")</f>
        <v>Beginner</v>
      </c>
      <c r="S17" s="139" t="str">
        <f ca="1">IFERROR(__xludf.DUMMYFUNCTION("""COMPUTED_VALUE"""),"Artificial Intelligence Foundations: Neural Networks")</f>
        <v>Artificial Intelligence Foundations: Neural Networks</v>
      </c>
      <c r="T17" s="140" t="str">
        <f ca="1">IFERROR(__xludf.DUMMYFUNCTION("""COMPUTED_VALUE"""),"Get Ahead in iOS App Development")</f>
        <v>Get Ahead in iOS App Development</v>
      </c>
      <c r="U17" s="134"/>
      <c r="V17" s="134"/>
    </row>
    <row r="18" spans="1:22" ht="33.75" customHeight="1" x14ac:dyDescent="0.15">
      <c r="A18" s="134"/>
      <c r="B18" s="134"/>
      <c r="C18" s="138">
        <f ca="1">IFERROR(__xludf.DUMMYFUNCTION("""COMPUTED_VALUE"""),779740)</f>
        <v>779740</v>
      </c>
      <c r="D18" s="138" t="str">
        <f ca="1">IFERROR(__xludf.DUMMYFUNCTION("""COMPUTED_VALUE"""),"Beginner")</f>
        <v>Beginner</v>
      </c>
      <c r="E18" s="139" t="str">
        <f ca="1">IFERROR(__xludf.DUMMYFUNCTION("""COMPUTED_VALUE"""),"Finance Foundations: Income Taxes")</f>
        <v>Finance Foundations: Income Taxes</v>
      </c>
      <c r="F18" s="141"/>
      <c r="G18" s="134"/>
      <c r="H18" s="134"/>
      <c r="I18" s="134"/>
      <c r="J18" s="138">
        <f ca="1">IFERROR(__xludf.DUMMYFUNCTION("""COMPUTED_VALUE"""),2851002)</f>
        <v>2851002</v>
      </c>
      <c r="K18" s="138" t="str">
        <f ca="1">IFERROR(__xludf.DUMMYFUNCTION("""COMPUTED_VALUE"""),"Advanced")</f>
        <v>Advanced</v>
      </c>
      <c r="L18" s="139" t="str">
        <f ca="1">IFERROR(__xludf.DUMMYFUNCTION("""COMPUTED_VALUE"""),"Privacy in the New World of Work")</f>
        <v>Privacy in the New World of Work</v>
      </c>
      <c r="M18" s="141"/>
      <c r="N18" s="134"/>
      <c r="O18" s="134"/>
      <c r="P18" s="134"/>
      <c r="Q18" s="138">
        <f ca="1">IFERROR(__xludf.DUMMYFUNCTION("""COMPUTED_VALUE"""),601797)</f>
        <v>601797</v>
      </c>
      <c r="R18" s="138" t="str">
        <f ca="1">IFERROR(__xludf.DUMMYFUNCTION("""COMPUTED_VALUE"""),"Beginner")</f>
        <v>Beginner</v>
      </c>
      <c r="S18" s="139" t="str">
        <f ca="1">IFERROR(__xludf.DUMMYFUNCTION("""COMPUTED_VALUE"""),"Artificial Intelligence Foundations: Machine Learning")</f>
        <v>Artificial Intelligence Foundations: Machine Learning</v>
      </c>
      <c r="T18" s="140" t="str">
        <f ca="1">IFERROR(__xludf.DUMMYFUNCTION("""COMPUTED_VALUE"""),"Improve Your ITIL Skills")</f>
        <v>Improve Your ITIL Skills</v>
      </c>
      <c r="U18" s="134"/>
      <c r="V18" s="134"/>
    </row>
    <row r="19" spans="1:22" ht="33.75" customHeight="1" x14ac:dyDescent="0.15">
      <c r="A19" s="134"/>
      <c r="B19" s="134"/>
      <c r="C19" s="138">
        <f ca="1">IFERROR(__xludf.DUMMYFUNCTION("""COMPUTED_VALUE"""),383049)</f>
        <v>383049</v>
      </c>
      <c r="D19" s="138" t="str">
        <f ca="1">IFERROR(__xludf.DUMMYFUNCTION("""COMPUTED_VALUE"""),"Beginner")</f>
        <v>Beginner</v>
      </c>
      <c r="E19" s="139" t="str">
        <f ca="1">IFERROR(__xludf.DUMMYFUNCTION("""COMPUTED_VALUE"""),"Running a Profitable Business: Understanding Cash Flow")</f>
        <v>Running a Profitable Business: Understanding Cash Flow</v>
      </c>
      <c r="F19" s="141"/>
      <c r="G19" s="134"/>
      <c r="H19" s="134"/>
      <c r="I19" s="134"/>
      <c r="J19" s="138">
        <f ca="1">IFERROR(__xludf.DUMMYFUNCTION("""COMPUTED_VALUE"""),802827)</f>
        <v>802827</v>
      </c>
      <c r="K19" s="138" t="str">
        <f ca="1">IFERROR(__xludf.DUMMYFUNCTION("""COMPUTED_VALUE"""),"Beginner")</f>
        <v>Beginner</v>
      </c>
      <c r="L19" s="139" t="str">
        <f ca="1">IFERROR(__xludf.DUMMYFUNCTION("""COMPUTED_VALUE"""),"Handling Workplace Bullying")</f>
        <v>Handling Workplace Bullying</v>
      </c>
      <c r="M19" s="141"/>
      <c r="N19" s="134"/>
      <c r="O19" s="134"/>
      <c r="P19" s="134"/>
      <c r="Q19" s="156">
        <f ca="1">IFERROR(__xludf.DUMMYFUNCTION("""COMPUTED_VALUE"""),601798)</f>
        <v>601798</v>
      </c>
      <c r="R19" s="156" t="str">
        <f ca="1">IFERROR(__xludf.DUMMYFUNCTION("""COMPUTED_VALUE"""),"Beginner")</f>
        <v>Beginner</v>
      </c>
      <c r="S19" s="139" t="str">
        <f ca="1">IFERROR(__xludf.DUMMYFUNCTION("""COMPUTED_VALUE"""),"Artificial Intelligence Foundations: Thinking Machines")</f>
        <v>Artificial Intelligence Foundations: Thinking Machines</v>
      </c>
      <c r="T19" s="140" t="str">
        <f ca="1">IFERROR(__xludf.DUMMYFUNCTION("""COMPUTED_VALUE"""),"Master Cloud-Native Infrastructure with Kubernetes")</f>
        <v>Master Cloud-Native Infrastructure with Kubernetes</v>
      </c>
      <c r="U19" s="134"/>
      <c r="V19" s="134"/>
    </row>
    <row r="20" spans="1:22" ht="33.75" customHeight="1" x14ac:dyDescent="0.15">
      <c r="A20" s="134"/>
      <c r="B20" s="134"/>
      <c r="C20" s="138">
        <f ca="1">IFERROR(__xludf.DUMMYFUNCTION("""COMPUTED_VALUE"""),174916)</f>
        <v>174916</v>
      </c>
      <c r="D20" s="138" t="str">
        <f ca="1">IFERROR(__xludf.DUMMYFUNCTION("""COMPUTED_VALUE"""),"Beginner")</f>
        <v>Beginner</v>
      </c>
      <c r="E20" s="139" t="str">
        <f ca="1">IFERROR(__xludf.DUMMYFUNCTION("""COMPUTED_VALUE"""),"Running a Profitable Business: Understanding Financial Ratios")</f>
        <v>Running a Profitable Business: Understanding Financial Ratios</v>
      </c>
      <c r="F20" s="141"/>
      <c r="G20" s="134"/>
      <c r="H20" s="134"/>
      <c r="I20" s="134"/>
      <c r="J20" s="138">
        <f ca="1">IFERROR(__xludf.DUMMYFUNCTION("""COMPUTED_VALUE"""),572890)</f>
        <v>572890</v>
      </c>
      <c r="K20" s="138" t="str">
        <f ca="1">IFERROR(__xludf.DUMMYFUNCTION("""COMPUTED_VALUE"""),"Beginner")</f>
        <v>Beginner</v>
      </c>
      <c r="L20" s="139" t="str">
        <f ca="1">IFERROR(__xludf.DUMMYFUNCTION("""COMPUTED_VALUE"""),"How to Design and Deliver Training Programs")</f>
        <v>How to Design and Deliver Training Programs</v>
      </c>
      <c r="M20" s="141"/>
      <c r="N20" s="134"/>
      <c r="O20" s="134"/>
      <c r="P20" s="134"/>
      <c r="Q20" s="138">
        <f ca="1">IFERROR(__xludf.DUMMYFUNCTION("""COMPUTED_VALUE"""),791354)</f>
        <v>791354</v>
      </c>
      <c r="R20" s="138" t="str">
        <f ca="1">IFERROR(__xludf.DUMMYFUNCTION("""COMPUTED_VALUE"""),"Beginner")</f>
        <v>Beginner</v>
      </c>
      <c r="S20" s="139" t="str">
        <f ca="1">IFERROR(__xludf.DUMMYFUNCTION("""COMPUTED_VALUE"""),"Machine Learning in Mobile Applications")</f>
        <v>Machine Learning in Mobile Applications</v>
      </c>
      <c r="T20" s="141"/>
      <c r="U20" s="134"/>
      <c r="V20" s="134"/>
    </row>
    <row r="21" spans="1:22" ht="33.75" customHeight="1" x14ac:dyDescent="0.15">
      <c r="A21" s="134"/>
      <c r="B21" s="134"/>
      <c r="C21" s="138">
        <f ca="1">IFERROR(__xludf.DUMMYFUNCTION("""COMPUTED_VALUE"""),630613)</f>
        <v>630613</v>
      </c>
      <c r="D21" s="138" t="str">
        <f ca="1">IFERROR(__xludf.DUMMYFUNCTION("""COMPUTED_VALUE"""),"Beginner")</f>
        <v>Beginner</v>
      </c>
      <c r="E21" s="139" t="str">
        <f ca="1">IFERROR(__xludf.DUMMYFUNCTION("""COMPUTED_VALUE"""),"The Data Science of Economics, Banking, and Finance, with Barton Poulson")</f>
        <v>The Data Science of Economics, Banking, and Finance, with Barton Poulson</v>
      </c>
      <c r="F21" s="141"/>
      <c r="G21" s="134"/>
      <c r="H21" s="134"/>
      <c r="I21" s="134"/>
      <c r="J21" s="138">
        <f ca="1">IFERROR(__xludf.DUMMYFUNCTION("""COMPUTED_VALUE"""),191268)</f>
        <v>191268</v>
      </c>
      <c r="K21" s="138" t="str">
        <f ca="1">IFERROR(__xludf.DUMMYFUNCTION("""COMPUTED_VALUE"""),"Beginner")</f>
        <v>Beginner</v>
      </c>
      <c r="L21" s="139" t="str">
        <f ca="1">IFERROR(__xludf.DUMMYFUNCTION("""COMPUTED_VALUE"""),"Human Resources Foundations")</f>
        <v>Human Resources Foundations</v>
      </c>
      <c r="M21" s="141"/>
      <c r="N21" s="134"/>
      <c r="O21" s="134"/>
      <c r="P21" s="134"/>
      <c r="Q21" s="138">
        <f ca="1">IFERROR(__xludf.DUMMYFUNCTION("""COMPUTED_VALUE"""),743171)</f>
        <v>743171</v>
      </c>
      <c r="R21" s="138" t="str">
        <f ca="1">IFERROR(__xludf.DUMMYFUNCTION("""COMPUTED_VALUE"""),"Beginner")</f>
        <v>Beginner</v>
      </c>
      <c r="S21" s="139" t="str">
        <f ca="1">IFERROR(__xludf.DUMMYFUNCTION("""COMPUTED_VALUE"""),"Machine Learning and AI Foundations: Predictive Modeling Strategy at Scale")</f>
        <v>Machine Learning and AI Foundations: Predictive Modeling Strategy at Scale</v>
      </c>
      <c r="T21" s="141"/>
      <c r="U21" s="134"/>
      <c r="V21" s="134"/>
    </row>
    <row r="22" spans="1:22" ht="33.75" customHeight="1" x14ac:dyDescent="0.15">
      <c r="A22" s="134"/>
      <c r="B22" s="134"/>
      <c r="C22" s="138">
        <f ca="1">IFERROR(__xludf.DUMMYFUNCTION("""COMPUTED_VALUE"""),5038201)</f>
        <v>5038201</v>
      </c>
      <c r="D22" s="138" t="str">
        <f ca="1">IFERROR(__xludf.DUMMYFUNCTION("""COMPUTED_VALUE"""),"Beginner")</f>
        <v>Beginner</v>
      </c>
      <c r="E22" s="139" t="str">
        <f ca="1">IFERROR(__xludf.DUMMYFUNCTION("""COMPUTED_VALUE"""),"Teaching Your Kids About Finance")</f>
        <v>Teaching Your Kids About Finance</v>
      </c>
      <c r="F22" s="141"/>
      <c r="G22" s="134"/>
      <c r="H22" s="134"/>
      <c r="I22" s="134"/>
      <c r="J22" s="138">
        <f ca="1">IFERROR(__xludf.DUMMYFUNCTION("""COMPUTED_VALUE"""),721920)</f>
        <v>721920</v>
      </c>
      <c r="K22" s="138" t="str">
        <f ca="1">IFERROR(__xludf.DUMMYFUNCTION("""COMPUTED_VALUE"""),"Beginner")</f>
        <v>Beginner</v>
      </c>
      <c r="L22" s="139" t="str">
        <f ca="1">IFERROR(__xludf.DUMMYFUNCTION("""COMPUTED_VALUE"""),"Human Resources: Protecting Confidentiality")</f>
        <v>Human Resources: Protecting Confidentiality</v>
      </c>
      <c r="M22" s="141"/>
      <c r="N22" s="134"/>
      <c r="O22" s="134"/>
      <c r="P22" s="134"/>
      <c r="Q22" s="138">
        <f ca="1">IFERROR(__xludf.DUMMYFUNCTION("""COMPUTED_VALUE"""),5043063)</f>
        <v>5043063</v>
      </c>
      <c r="R22" s="138" t="str">
        <f ca="1">IFERROR(__xludf.DUMMYFUNCTION("""COMPUTED_VALUE"""),"Beginner")</f>
        <v>Beginner</v>
      </c>
      <c r="S22" s="139" t="str">
        <f ca="1">IFERROR(__xludf.DUMMYFUNCTION("""COMPUTED_VALUE"""),"Learning Microsoft PowerApps")</f>
        <v>Learning Microsoft PowerApps</v>
      </c>
      <c r="T22" s="141"/>
      <c r="U22" s="134"/>
      <c r="V22" s="134"/>
    </row>
    <row r="23" spans="1:22" ht="33.75" customHeight="1" x14ac:dyDescent="0.15">
      <c r="A23" s="134"/>
      <c r="B23" s="134"/>
      <c r="C23" s="138">
        <f ca="1">IFERROR(__xludf.DUMMYFUNCTION("""COMPUTED_VALUE"""),5038202)</f>
        <v>5038202</v>
      </c>
      <c r="D23" s="138" t="str">
        <f ca="1">IFERROR(__xludf.DUMMYFUNCTION("""COMPUTED_VALUE"""),"Beginner")</f>
        <v>Beginner</v>
      </c>
      <c r="E23" s="139" t="str">
        <f ca="1">IFERROR(__xludf.DUMMYFUNCTION("""COMPUTED_VALUE"""),"Finance Foundations for Solopreneurs")</f>
        <v>Finance Foundations for Solopreneurs</v>
      </c>
      <c r="F23" s="141"/>
      <c r="G23" s="134"/>
      <c r="H23" s="134"/>
      <c r="I23" s="134"/>
      <c r="J23" s="138">
        <f ca="1">IFERROR(__xludf.DUMMYFUNCTION("""COMPUTED_VALUE"""),656782)</f>
        <v>656782</v>
      </c>
      <c r="K23" s="138" t="str">
        <f ca="1">IFERROR(__xludf.DUMMYFUNCTION("""COMPUTED_VALUE"""),"Beginner")</f>
        <v>Beginner</v>
      </c>
      <c r="L23" s="139" t="str">
        <f ca="1">IFERROR(__xludf.DUMMYFUNCTION("""COMPUTED_VALUE"""),"Organizational Culture")</f>
        <v>Organizational Culture</v>
      </c>
      <c r="M23" s="141"/>
      <c r="N23" s="134"/>
      <c r="O23" s="134"/>
      <c r="P23" s="134"/>
      <c r="Q23" s="138">
        <f ca="1">IFERROR(__xludf.DUMMYFUNCTION("""COMPUTED_VALUE"""),2804664)</f>
        <v>2804664</v>
      </c>
      <c r="R23" s="138" t="str">
        <f ca="1">IFERROR(__xludf.DUMMYFUNCTION("""COMPUTED_VALUE"""),"Beginner")</f>
        <v>Beginner</v>
      </c>
      <c r="S23" s="139" t="str">
        <f ca="1">IFERROR(__xludf.DUMMYFUNCTION("""COMPUTED_VALUE"""),"Introducing AI to Your Organization")</f>
        <v>Introducing AI to Your Organization</v>
      </c>
      <c r="T23" s="141"/>
      <c r="U23" s="134"/>
      <c r="V23" s="134"/>
    </row>
    <row r="24" spans="1:22" ht="33.75" customHeight="1" x14ac:dyDescent="0.15">
      <c r="A24" s="134"/>
      <c r="B24" s="134"/>
      <c r="C24" s="138">
        <f ca="1">IFERROR(__xludf.DUMMYFUNCTION("""COMPUTED_VALUE"""),5043070)</f>
        <v>5043070</v>
      </c>
      <c r="D24" s="138" t="str">
        <f ca="1">IFERROR(__xludf.DUMMYFUNCTION("""COMPUTED_VALUE"""),"Beginner")</f>
        <v>Beginner</v>
      </c>
      <c r="E24" s="139" t="str">
        <f ca="1">IFERROR(__xludf.DUMMYFUNCTION("""COMPUTED_VALUE"""),"Understanding Capital Markets")</f>
        <v>Understanding Capital Markets</v>
      </c>
      <c r="F24" s="141"/>
      <c r="G24" s="134"/>
      <c r="H24" s="134"/>
      <c r="I24" s="134"/>
      <c r="J24" s="138">
        <f ca="1">IFERROR(__xludf.DUMMYFUNCTION("""COMPUTED_VALUE"""),794118)</f>
        <v>794118</v>
      </c>
      <c r="K24" s="138" t="str">
        <f ca="1">IFERROR(__xludf.DUMMYFUNCTION("""COMPUTED_VALUE"""),"Beginner")</f>
        <v>Beginner</v>
      </c>
      <c r="L24" s="139" t="str">
        <f ca="1">IFERROR(__xludf.DUMMYFUNCTION("""COMPUTED_VALUE"""),"Teaching Civility in the Workplace")</f>
        <v>Teaching Civility in the Workplace</v>
      </c>
      <c r="M24" s="141"/>
      <c r="N24" s="134"/>
      <c r="O24" s="134"/>
      <c r="P24" s="134"/>
      <c r="Q24" s="138">
        <f ca="1">IFERROR(__xludf.DUMMYFUNCTION("""COMPUTED_VALUE"""),2805571)</f>
        <v>2805571</v>
      </c>
      <c r="R24" s="138" t="str">
        <f ca="1">IFERROR(__xludf.DUMMYFUNCTION("""COMPUTED_VALUE"""),"Beginner")</f>
        <v>Beginner</v>
      </c>
      <c r="S24" s="139" t="str">
        <f ca="1">IFERROR(__xludf.DUMMYFUNCTION("""COMPUTED_VALUE"""),"Succeeding in Web Development: Full Stack and Front End")</f>
        <v>Succeeding in Web Development: Full Stack and Front End</v>
      </c>
      <c r="T24" s="141"/>
      <c r="U24" s="134"/>
      <c r="V24" s="134"/>
    </row>
    <row r="25" spans="1:22" ht="33.75" customHeight="1" x14ac:dyDescent="0.15">
      <c r="A25" s="134"/>
      <c r="B25" s="134"/>
      <c r="C25" s="138">
        <f ca="1">IFERROR(__xludf.DUMMYFUNCTION("""COMPUTED_VALUE"""),5010645)</f>
        <v>5010645</v>
      </c>
      <c r="D25" s="138" t="str">
        <f ca="1">IFERROR(__xludf.DUMMYFUNCTION("""COMPUTED_VALUE"""),"Beginner")</f>
        <v>Beginner</v>
      </c>
      <c r="E25" s="139" t="str">
        <f ca="1">IFERROR(__xludf.DUMMYFUNCTION("""COMPUTED_VALUE"""),"QuickBooks Online Essential Training")</f>
        <v>QuickBooks Online Essential Training</v>
      </c>
      <c r="F25" s="141"/>
      <c r="G25" s="134"/>
      <c r="H25" s="134"/>
      <c r="I25" s="134"/>
      <c r="J25" s="138">
        <f ca="1">IFERROR(__xludf.DUMMYFUNCTION("""COMPUTED_VALUE"""),2805907)</f>
        <v>2805907</v>
      </c>
      <c r="K25" s="138" t="str">
        <f ca="1">IFERROR(__xludf.DUMMYFUNCTION("""COMPUTED_VALUE"""),"Beginner")</f>
        <v>Beginner</v>
      </c>
      <c r="L25" s="139" t="str">
        <f ca="1">IFERROR(__xludf.DUMMYFUNCTION("""COMPUTED_VALUE"""),"Women Transforming Tech: Finding Sponsors")</f>
        <v>Women Transforming Tech: Finding Sponsors</v>
      </c>
      <c r="M25" s="141"/>
      <c r="N25" s="134"/>
      <c r="O25" s="134"/>
      <c r="P25" s="134"/>
      <c r="Q25" s="138">
        <f ca="1">IFERROR(__xludf.DUMMYFUNCTION("""COMPUTED_VALUE"""),5030981)</f>
        <v>5030981</v>
      </c>
      <c r="R25" s="138" t="str">
        <f ca="1">IFERROR(__xludf.DUMMYFUNCTION("""COMPUTED_VALUE"""),"Beginner")</f>
        <v>Beginner</v>
      </c>
      <c r="S25" s="139" t="str">
        <f ca="1">IFERROR(__xludf.DUMMYFUNCTION("""COMPUTED_VALUE"""),"Software Development Life Cycle (SDLC)")</f>
        <v>Software Development Life Cycle (SDLC)</v>
      </c>
      <c r="T25" s="141"/>
      <c r="U25" s="134"/>
      <c r="V25" s="134"/>
    </row>
    <row r="26" spans="1:22" ht="33.75" customHeight="1" x14ac:dyDescent="0.15">
      <c r="A26" s="134"/>
      <c r="B26" s="134"/>
      <c r="C26" s="138">
        <f ca="1">IFERROR(__xludf.DUMMYFUNCTION("""COMPUTED_VALUE"""),786351)</f>
        <v>786351</v>
      </c>
      <c r="D26" s="138" t="str">
        <f ca="1">IFERROR(__xludf.DUMMYFUNCTION("""COMPUTED_VALUE"""),"Beginner")</f>
        <v>Beginner</v>
      </c>
      <c r="E26" s="139" t="str">
        <f ca="1">IFERROR(__xludf.DUMMYFUNCTION("""COMPUTED_VALUE"""),"QuickBooks Pro 2019 Essential Training")</f>
        <v>QuickBooks Pro 2019 Essential Training</v>
      </c>
      <c r="F26" s="141"/>
      <c r="G26" s="134"/>
      <c r="H26" s="134"/>
      <c r="I26" s="134"/>
      <c r="J26" s="138">
        <f ca="1">IFERROR(__xludf.DUMMYFUNCTION("""COMPUTED_VALUE"""),2813256)</f>
        <v>2813256</v>
      </c>
      <c r="K26" s="138" t="str">
        <f ca="1">IFERROR(__xludf.DUMMYFUNCTION("""COMPUTED_VALUE"""),"Beginner")</f>
        <v>Beginner</v>
      </c>
      <c r="L26" s="139" t="str">
        <f ca="1">IFERROR(__xludf.DUMMYFUNCTION("""COMPUTED_VALUE"""),"Connecting with Your Millennial Manager")</f>
        <v>Connecting with Your Millennial Manager</v>
      </c>
      <c r="M26" s="141"/>
      <c r="N26" s="134"/>
      <c r="O26" s="134"/>
      <c r="P26" s="134"/>
      <c r="Q26" s="138">
        <f ca="1">IFERROR(__xludf.DUMMYFUNCTION("""COMPUTED_VALUE"""),2822655)</f>
        <v>2822655</v>
      </c>
      <c r="R26" s="138" t="str">
        <f ca="1">IFERROR(__xludf.DUMMYFUNCTION("""COMPUTED_VALUE"""),"Beginner")</f>
        <v>Beginner</v>
      </c>
      <c r="S26" s="139" t="str">
        <f ca="1">IFERROR(__xludf.DUMMYFUNCTION("""COMPUTED_VALUE"""),"Working and Collaborating Online")</f>
        <v>Working and Collaborating Online</v>
      </c>
      <c r="T26" s="141"/>
      <c r="U26" s="134"/>
      <c r="V26" s="134"/>
    </row>
    <row r="27" spans="1:22" ht="33.75" customHeight="1" x14ac:dyDescent="0.15">
      <c r="A27" s="134"/>
      <c r="B27" s="134"/>
      <c r="C27" s="138">
        <f ca="1">IFERROR(__xludf.DUMMYFUNCTION("""COMPUTED_VALUE"""),2806199)</f>
        <v>2806199</v>
      </c>
      <c r="D27" s="138" t="str">
        <f ca="1">IFERROR(__xludf.DUMMYFUNCTION("""COMPUTED_VALUE"""),"Beginner")</f>
        <v>Beginner</v>
      </c>
      <c r="E27" s="139" t="str">
        <f ca="1">IFERROR(__xludf.DUMMYFUNCTION("""COMPUTED_VALUE"""),"Accounting for Managers")</f>
        <v>Accounting for Managers</v>
      </c>
      <c r="F27" s="141"/>
      <c r="G27" s="134"/>
      <c r="H27" s="134"/>
      <c r="I27" s="134"/>
      <c r="J27" s="138">
        <f ca="1">IFERROR(__xludf.DUMMYFUNCTION("""COMPUTED_VALUE"""),2819029)</f>
        <v>2819029</v>
      </c>
      <c r="K27" s="138" t="str">
        <f ca="1">IFERROR(__xludf.DUMMYFUNCTION("""COMPUTED_VALUE"""),"Beginner")</f>
        <v>Beginner</v>
      </c>
      <c r="L27" s="139" t="str">
        <f ca="1">IFERROR(__xludf.DUMMYFUNCTION("""COMPUTED_VALUE"""),"Onboarding New Hires as a Manager")</f>
        <v>Onboarding New Hires as a Manager</v>
      </c>
      <c r="M27" s="141"/>
      <c r="N27" s="134"/>
      <c r="O27" s="134"/>
      <c r="P27" s="134"/>
      <c r="Q27" s="138">
        <f ca="1">IFERROR(__xludf.DUMMYFUNCTION("""COMPUTED_VALUE"""),2822654)</f>
        <v>2822654</v>
      </c>
      <c r="R27" s="138" t="str">
        <f ca="1">IFERROR(__xludf.DUMMYFUNCTION("""COMPUTED_VALUE"""),"Beginner")</f>
        <v>Beginner</v>
      </c>
      <c r="S27" s="139" t="str">
        <f ca="1">IFERROR(__xludf.DUMMYFUNCTION("""COMPUTED_VALUE"""),"Working with Computers and Devices")</f>
        <v>Working with Computers and Devices</v>
      </c>
      <c r="T27" s="141"/>
      <c r="U27" s="134"/>
      <c r="V27" s="134"/>
    </row>
    <row r="28" spans="1:22" ht="33.75" customHeight="1" x14ac:dyDescent="0.15">
      <c r="A28" s="134"/>
      <c r="B28" s="134"/>
      <c r="C28" s="138">
        <f ca="1">IFERROR(__xludf.DUMMYFUNCTION("""COMPUTED_VALUE"""),5040386)</f>
        <v>5040386</v>
      </c>
      <c r="D28" s="138" t="str">
        <f ca="1">IFERROR(__xludf.DUMMYFUNCTION("""COMPUTED_VALUE"""),"Beginner")</f>
        <v>Beginner</v>
      </c>
      <c r="E28" s="139" t="str">
        <f ca="1">IFERROR(__xludf.DUMMYFUNCTION("""COMPUTED_VALUE"""),"How to Analyze a Wholesale Deal in Real Estate")</f>
        <v>How to Analyze a Wholesale Deal in Real Estate</v>
      </c>
      <c r="F28" s="141"/>
      <c r="G28" s="134"/>
      <c r="H28" s="134"/>
      <c r="I28" s="134"/>
      <c r="J28" s="138">
        <f ca="1">IFERROR(__xludf.DUMMYFUNCTION("""COMPUTED_VALUE"""),2823248)</f>
        <v>2823248</v>
      </c>
      <c r="K28" s="138" t="str">
        <f ca="1">IFERROR(__xludf.DUMMYFUNCTION("""COMPUTED_VALUE"""),"Beginner")</f>
        <v>Beginner</v>
      </c>
      <c r="L28" s="139" t="str">
        <f ca="1">IFERROR(__xludf.DUMMYFUNCTION("""COMPUTED_VALUE"""),"Introduction to Employee Relations")</f>
        <v>Introduction to Employee Relations</v>
      </c>
      <c r="M28" s="141"/>
      <c r="N28" s="134"/>
      <c r="O28" s="134"/>
      <c r="P28" s="134"/>
      <c r="Q28" s="138">
        <f ca="1">IFERROR(__xludf.DUMMYFUNCTION("""COMPUTED_VALUE"""),2862037)</f>
        <v>2862037</v>
      </c>
      <c r="R28" s="138" t="str">
        <f ca="1">IFERROR(__xludf.DUMMYFUNCTION("""COMPUTED_VALUE"""),"Beginner")</f>
        <v>Beginner</v>
      </c>
      <c r="S28" s="139" t="str">
        <f ca="1">IFERROR(__xludf.DUMMYFUNCTION("""COMPUTED_VALUE"""),"Foundations of Enterprise Content Management")</f>
        <v>Foundations of Enterprise Content Management</v>
      </c>
      <c r="T28" s="141"/>
      <c r="U28" s="134"/>
      <c r="V28" s="134"/>
    </row>
    <row r="29" spans="1:22" ht="33.75" customHeight="1" x14ac:dyDescent="0.15">
      <c r="A29" s="134"/>
      <c r="B29" s="134"/>
      <c r="C29" s="138">
        <f ca="1">IFERROR(__xludf.DUMMYFUNCTION("""COMPUTED_VALUE"""),599602)</f>
        <v>599602</v>
      </c>
      <c r="D29" s="138" t="str">
        <f ca="1">IFERROR(__xludf.DUMMYFUNCTION("""COMPUTED_VALUE"""),"Beginner")</f>
        <v>Beginner</v>
      </c>
      <c r="E29" s="139" t="str">
        <f ca="1">IFERROR(__xludf.DUMMYFUNCTION("""COMPUTED_VALUE"""),"Consulting Foundations")</f>
        <v>Consulting Foundations</v>
      </c>
      <c r="F29" s="141"/>
      <c r="G29" s="134"/>
      <c r="H29" s="134"/>
      <c r="I29" s="134"/>
      <c r="J29" s="138">
        <f ca="1">IFERROR(__xludf.DUMMYFUNCTION("""COMPUTED_VALUE"""),5005050)</f>
        <v>5005050</v>
      </c>
      <c r="K29" s="138" t="str">
        <f ca="1">IFERROR(__xludf.DUMMYFUNCTION("""COMPUTED_VALUE"""),"Beginner")</f>
        <v>Beginner</v>
      </c>
      <c r="L29" s="139" t="str">
        <f ca="1">IFERROR(__xludf.DUMMYFUNCTION("""COMPUTED_VALUE"""),"Learning Microsoft Dynamics Talent")</f>
        <v>Learning Microsoft Dynamics Talent</v>
      </c>
      <c r="M29" s="141"/>
      <c r="N29" s="134"/>
      <c r="O29" s="134"/>
      <c r="P29" s="134"/>
      <c r="Q29" s="138">
        <f ca="1">IFERROR(__xludf.DUMMYFUNCTION("""COMPUTED_VALUE"""),2859040)</f>
        <v>2859040</v>
      </c>
      <c r="R29" s="138" t="str">
        <f ca="1">IFERROR(__xludf.DUMMYFUNCTION("""COMPUTED_VALUE"""),"Beginner")</f>
        <v>Beginner</v>
      </c>
      <c r="S29" s="139" t="str">
        <f ca="1">IFERROR(__xludf.DUMMYFUNCTION("""COMPUTED_VALUE"""),"Getting Started with Live Streaming")</f>
        <v>Getting Started with Live Streaming</v>
      </c>
      <c r="T29" s="141"/>
      <c r="U29" s="134"/>
      <c r="V29" s="134"/>
    </row>
    <row r="30" spans="1:22" ht="33.75" customHeight="1" x14ac:dyDescent="0.15">
      <c r="A30" s="134"/>
      <c r="B30" s="134"/>
      <c r="C30" s="138">
        <f ca="1">IFERROR(__xludf.DUMMYFUNCTION("""COMPUTED_VALUE"""),713376)</f>
        <v>713376</v>
      </c>
      <c r="D30" s="138" t="str">
        <f ca="1">IFERROR(__xludf.DUMMYFUNCTION("""COMPUTED_VALUE"""),"Beginner")</f>
        <v>Beginner</v>
      </c>
      <c r="E30" s="139" t="str">
        <f ca="1">IFERROR(__xludf.DUMMYFUNCTION("""COMPUTED_VALUE"""),"Financial Accounting Part 2")</f>
        <v>Financial Accounting Part 2</v>
      </c>
      <c r="F30" s="141"/>
      <c r="G30" s="134"/>
      <c r="H30" s="134"/>
      <c r="I30" s="134"/>
      <c r="J30" s="138">
        <f ca="1">IFERROR(__xludf.DUMMYFUNCTION("""COMPUTED_VALUE"""),2823138)</f>
        <v>2823138</v>
      </c>
      <c r="K30" s="138" t="str">
        <f ca="1">IFERROR(__xludf.DUMMYFUNCTION("""COMPUTED_VALUE"""),"Beginner")</f>
        <v>Beginner</v>
      </c>
      <c r="L30" s="139" t="str">
        <f ca="1">IFERROR(__xludf.DUMMYFUNCTION("""COMPUTED_VALUE"""),"Empathy Tips for HR Professionals")</f>
        <v>Empathy Tips for HR Professionals</v>
      </c>
      <c r="M30" s="141"/>
      <c r="N30" s="134"/>
      <c r="O30" s="134"/>
      <c r="P30" s="134"/>
      <c r="Q30" s="138">
        <f ca="1">IFERROR(__xludf.DUMMYFUNCTION("""COMPUTED_VALUE"""),2864002)</f>
        <v>2864002</v>
      </c>
      <c r="R30" s="138" t="str">
        <f ca="1">IFERROR(__xludf.DUMMYFUNCTION("""COMPUTED_VALUE"""),"Beginner")</f>
        <v>Beginner</v>
      </c>
      <c r="S30" s="139" t="str">
        <f ca="1">IFERROR(__xludf.DUMMYFUNCTION("""COMPUTED_VALUE"""),"CompTIA Security+ (SY0-601) Cert Prep: 8 Network Security Design and Implementation")</f>
        <v>CompTIA Security+ (SY0-601) Cert Prep: 8 Network Security Design and Implementation</v>
      </c>
      <c r="T30" s="141"/>
      <c r="U30" s="134"/>
      <c r="V30" s="134"/>
    </row>
    <row r="31" spans="1:22" ht="33.75" customHeight="1" x14ac:dyDescent="0.15">
      <c r="A31" s="134"/>
      <c r="B31" s="134"/>
      <c r="C31" s="138">
        <f ca="1">IFERROR(__xludf.DUMMYFUNCTION("""COMPUTED_VALUE"""),608996)</f>
        <v>608996</v>
      </c>
      <c r="D31" s="138" t="str">
        <f ca="1">IFERROR(__xludf.DUMMYFUNCTION("""COMPUTED_VALUE"""),"Beginner")</f>
        <v>Beginner</v>
      </c>
      <c r="E31" s="139" t="str">
        <f ca="1">IFERROR(__xludf.DUMMYFUNCTION("""COMPUTED_VALUE"""),"Finance Foundations: Risk Management")</f>
        <v>Finance Foundations: Risk Management</v>
      </c>
      <c r="F31" s="141"/>
      <c r="G31" s="134"/>
      <c r="H31" s="134"/>
      <c r="I31" s="134"/>
      <c r="J31" s="138">
        <f ca="1">IFERROR(__xludf.DUMMYFUNCTION("""COMPUTED_VALUE"""),2824268)</f>
        <v>2824268</v>
      </c>
      <c r="K31" s="138" t="str">
        <f ca="1">IFERROR(__xludf.DUMMYFUNCTION("""COMPUTED_VALUE"""),"Beginner")</f>
        <v>Beginner</v>
      </c>
      <c r="L31" s="139" t="str">
        <f ca="1">IFERROR(__xludf.DUMMYFUNCTION("""COMPUTED_VALUE"""),"HR Guidelines Everyone Should Know")</f>
        <v>HR Guidelines Everyone Should Know</v>
      </c>
      <c r="M31" s="141"/>
      <c r="N31" s="134"/>
      <c r="O31" s="134"/>
      <c r="P31" s="134"/>
      <c r="Q31" s="138">
        <f ca="1">IFERROR(__xludf.DUMMYFUNCTION("""COMPUTED_VALUE"""),772329)</f>
        <v>772329</v>
      </c>
      <c r="R31" s="138" t="str">
        <f ca="1">IFERROR(__xludf.DUMMYFUNCTION("""COMPUTED_VALUE"""),"Beginner + Intermediate")</f>
        <v>Beginner + Intermediate</v>
      </c>
      <c r="S31" s="139" t="str">
        <f ca="1">IFERROR(__xludf.DUMMYFUNCTION("""COMPUTED_VALUE"""),"Agile Testing")</f>
        <v>Agile Testing</v>
      </c>
      <c r="T31" s="141"/>
      <c r="U31" s="134"/>
      <c r="V31" s="134"/>
    </row>
    <row r="32" spans="1:22" ht="33.75" customHeight="1" x14ac:dyDescent="0.15">
      <c r="A32" s="134"/>
      <c r="B32" s="134"/>
      <c r="C32" s="138">
        <f ca="1">IFERROR(__xludf.DUMMYFUNCTION("""COMPUTED_VALUE"""),713377)</f>
        <v>713377</v>
      </c>
      <c r="D32" s="138" t="str">
        <f ca="1">IFERROR(__xludf.DUMMYFUNCTION("""COMPUTED_VALUE"""),"Beginner")</f>
        <v>Beginner</v>
      </c>
      <c r="E32" s="139" t="str">
        <f ca="1">IFERROR(__xludf.DUMMYFUNCTION("""COMPUTED_VALUE"""),"Financial Accounting Part 1")</f>
        <v>Financial Accounting Part 1</v>
      </c>
      <c r="F32" s="141"/>
      <c r="G32" s="134"/>
      <c r="H32" s="134"/>
      <c r="I32" s="134"/>
      <c r="J32" s="138">
        <f ca="1">IFERROR(__xludf.DUMMYFUNCTION("""COMPUTED_VALUE"""),2825494)</f>
        <v>2825494</v>
      </c>
      <c r="K32" s="138" t="str">
        <f ca="1">IFERROR(__xludf.DUMMYFUNCTION("""COMPUTED_VALUE"""),"Beginner")</f>
        <v>Beginner</v>
      </c>
      <c r="L32" s="139" t="str">
        <f ca="1">IFERROR(__xludf.DUMMYFUNCTION("""COMPUTED_VALUE"""),"Creating a Culture of Learning")</f>
        <v>Creating a Culture of Learning</v>
      </c>
      <c r="M32" s="141"/>
      <c r="N32" s="134"/>
      <c r="O32" s="134"/>
      <c r="P32" s="134"/>
      <c r="Q32" s="138">
        <f ca="1">IFERROR(__xludf.DUMMYFUNCTION("""COMPUTED_VALUE"""),601807)</f>
        <v>601807</v>
      </c>
      <c r="R32" s="138" t="str">
        <f ca="1">IFERROR(__xludf.DUMMYFUNCTION("""COMPUTED_VALUE"""),"Beginner + Intermediate")</f>
        <v>Beginner + Intermediate</v>
      </c>
      <c r="S32" s="139" t="str">
        <f ca="1">IFERROR(__xludf.DUMMYFUNCTION("""COMPUTED_VALUE"""),"CompTIA Security+ (SY0-501) Cert Prep: 4 Identity and Access Management")</f>
        <v>CompTIA Security+ (SY0-501) Cert Prep: 4 Identity and Access Management</v>
      </c>
      <c r="T32" s="141"/>
      <c r="U32" s="134"/>
      <c r="V32" s="134"/>
    </row>
    <row r="33" spans="1:22" ht="33.75" customHeight="1" x14ac:dyDescent="0.15">
      <c r="A33" s="134"/>
      <c r="B33" s="134"/>
      <c r="C33" s="138">
        <f ca="1">IFERROR(__xludf.DUMMYFUNCTION("""COMPUTED_VALUE"""),718626)</f>
        <v>718626</v>
      </c>
      <c r="D33" s="138" t="str">
        <f ca="1">IFERROR(__xludf.DUMMYFUNCTION("""COMPUTED_VALUE"""),"Beginner")</f>
        <v>Beginner</v>
      </c>
      <c r="E33" s="139" t="str">
        <f ca="1">IFERROR(__xludf.DUMMYFUNCTION("""COMPUTED_VALUE"""),"Applying Agile MoSCoW Prioritization")</f>
        <v>Applying Agile MoSCoW Prioritization</v>
      </c>
      <c r="F33" s="141"/>
      <c r="G33" s="134"/>
      <c r="H33" s="134"/>
      <c r="I33" s="134"/>
      <c r="J33" s="138">
        <f ca="1">IFERROR(__xludf.DUMMYFUNCTION("""COMPUTED_VALUE"""),2841554)</f>
        <v>2841554</v>
      </c>
      <c r="K33" s="138" t="str">
        <f ca="1">IFERROR(__xludf.DUMMYFUNCTION("""COMPUTED_VALUE"""),"Beginner")</f>
        <v>Beginner</v>
      </c>
      <c r="L33" s="139" t="str">
        <f ca="1">IFERROR(__xludf.DUMMYFUNCTION("""COMPUTED_VALUE"""),"Inclusion During Difficult Times")</f>
        <v>Inclusion During Difficult Times</v>
      </c>
      <c r="M33" s="141"/>
      <c r="N33" s="134"/>
      <c r="O33" s="134"/>
      <c r="P33" s="134"/>
      <c r="Q33" s="138">
        <f ca="1">IFERROR(__xludf.DUMMYFUNCTION("""COMPUTED_VALUE"""),751335)</f>
        <v>751335</v>
      </c>
      <c r="R33" s="138" t="str">
        <f ca="1">IFERROR(__xludf.DUMMYFUNCTION("""COMPUTED_VALUE"""),"Beginner + Intermediate")</f>
        <v>Beginner + Intermediate</v>
      </c>
      <c r="S33" s="139" t="str">
        <f ca="1">IFERROR(__xludf.DUMMYFUNCTION("""COMPUTED_VALUE"""),"Applied Machine Learning: Foundations")</f>
        <v>Applied Machine Learning: Foundations</v>
      </c>
      <c r="T33" s="141"/>
      <c r="U33" s="134"/>
      <c r="V33" s="134"/>
    </row>
    <row r="34" spans="1:22" ht="33.75" customHeight="1" x14ac:dyDescent="0.15">
      <c r="A34" s="134"/>
      <c r="B34" s="134"/>
      <c r="C34" s="138">
        <f ca="1">IFERROR(__xludf.DUMMYFUNCTION("""COMPUTED_VALUE"""),427473)</f>
        <v>427473</v>
      </c>
      <c r="D34" s="138" t="str">
        <f ca="1">IFERROR(__xludf.DUMMYFUNCTION("""COMPUTED_VALUE"""),"Beginner")</f>
        <v>Beginner</v>
      </c>
      <c r="E34" s="139" t="str">
        <f ca="1">IFERROR(__xludf.DUMMYFUNCTION("""COMPUTED_VALUE"""),"Statistics Foundations: 1")</f>
        <v>Statistics Foundations: 1</v>
      </c>
      <c r="F34" s="141"/>
      <c r="G34" s="134"/>
      <c r="H34" s="134"/>
      <c r="I34" s="134"/>
      <c r="J34" s="138">
        <f ca="1">IFERROR(__xludf.DUMMYFUNCTION("""COMPUTED_VALUE"""),5034159)</f>
        <v>5034159</v>
      </c>
      <c r="K34" s="138" t="str">
        <f ca="1">IFERROR(__xludf.DUMMYFUNCTION("""COMPUTED_VALUE"""),"Beginner + Intermediate")</f>
        <v>Beginner + Intermediate</v>
      </c>
      <c r="L34" s="139" t="str">
        <f ca="1">IFERROR(__xludf.DUMMYFUNCTION("""COMPUTED_VALUE"""),"Hiring an Employee for Managers")</f>
        <v>Hiring an Employee for Managers</v>
      </c>
      <c r="M34" s="141"/>
      <c r="N34" s="134"/>
      <c r="O34" s="134"/>
      <c r="P34" s="134"/>
      <c r="Q34" s="138">
        <f ca="1">IFERROR(__xludf.DUMMYFUNCTION("""COMPUTED_VALUE"""),508873)</f>
        <v>508873</v>
      </c>
      <c r="R34" s="138" t="str">
        <f ca="1">IFERROR(__xludf.DUMMYFUNCTION("""COMPUTED_VALUE"""),"Beginner + Intermediate")</f>
        <v>Beginner + Intermediate</v>
      </c>
      <c r="S34" s="139" t="str">
        <f ca="1">IFERROR(__xludf.DUMMYFUNCTION("""COMPUTED_VALUE"""),"NumPy Data Science Essential Training")</f>
        <v>NumPy Data Science Essential Training</v>
      </c>
      <c r="T34" s="141"/>
      <c r="U34" s="134"/>
      <c r="V34" s="134"/>
    </row>
    <row r="35" spans="1:22" ht="33.75" customHeight="1" x14ac:dyDescent="0.15">
      <c r="A35" s="134"/>
      <c r="B35" s="134"/>
      <c r="C35" s="138">
        <f ca="1">IFERROR(__xludf.DUMMYFUNCTION("""COMPUTED_VALUE"""),630615)</f>
        <v>630615</v>
      </c>
      <c r="D35" s="138" t="str">
        <f ca="1">IFERROR(__xludf.DUMMYFUNCTION("""COMPUTED_VALUE"""),"Beginner")</f>
        <v>Beginner</v>
      </c>
      <c r="E35" s="139" t="str">
        <f ca="1">IFERROR(__xludf.DUMMYFUNCTION("""COMPUTED_VALUE"""),"Picking the Right Chart for Your Data")</f>
        <v>Picking the Right Chart for Your Data</v>
      </c>
      <c r="F35" s="141"/>
      <c r="G35" s="134"/>
      <c r="H35" s="134"/>
      <c r="I35" s="134"/>
      <c r="J35" s="138">
        <f ca="1">IFERROR(__xludf.DUMMYFUNCTION("""COMPUTED_VALUE"""),5034182)</f>
        <v>5034182</v>
      </c>
      <c r="K35" s="138" t="str">
        <f ca="1">IFERROR(__xludf.DUMMYFUNCTION("""COMPUTED_VALUE"""),"Beginner + Intermediate")</f>
        <v>Beginner + Intermediate</v>
      </c>
      <c r="L35" s="139" t="str">
        <f ca="1">IFERROR(__xludf.DUMMYFUNCTION("""COMPUTED_VALUE"""),"Hiring and Managing UX Professionals")</f>
        <v>Hiring and Managing UX Professionals</v>
      </c>
      <c r="M35" s="141"/>
      <c r="N35" s="134"/>
      <c r="O35" s="134"/>
      <c r="P35" s="134"/>
      <c r="Q35" s="138">
        <f ca="1">IFERROR(__xludf.DUMMYFUNCTION("""COMPUTED_VALUE"""),737753)</f>
        <v>737753</v>
      </c>
      <c r="R35" s="138" t="str">
        <f ca="1">IFERROR(__xludf.DUMMYFUNCTION("""COMPUTED_VALUE"""),"Beginner + Intermediate")</f>
        <v>Beginner + Intermediate</v>
      </c>
      <c r="S35" s="139" t="str">
        <f ca="1">IFERROR(__xludf.DUMMYFUNCTION("""COMPUTED_VALUE"""),"Learning XAI: Explainable Artificial Intelligence")</f>
        <v>Learning XAI: Explainable Artificial Intelligence</v>
      </c>
      <c r="T35" s="141"/>
      <c r="U35" s="134"/>
      <c r="V35" s="134"/>
    </row>
    <row r="36" spans="1:22" ht="33.75" customHeight="1" x14ac:dyDescent="0.15">
      <c r="A36" s="134"/>
      <c r="B36" s="134"/>
      <c r="C36" s="138">
        <f ca="1">IFERROR(__xludf.DUMMYFUNCTION("""COMPUTED_VALUE"""),624309)</f>
        <v>624309</v>
      </c>
      <c r="D36" s="138" t="str">
        <f ca="1">IFERROR(__xludf.DUMMYFUNCTION("""COMPUTED_VALUE"""),"Beginner")</f>
        <v>Beginner</v>
      </c>
      <c r="E36" s="157" t="str">
        <f ca="1">IFERROR(__xludf.DUMMYFUNCTION("""COMPUTED_VALUE"""),"Learning Data Analytics")</f>
        <v>Learning Data Analytics</v>
      </c>
      <c r="F36" s="141"/>
      <c r="G36" s="134"/>
      <c r="H36" s="134"/>
      <c r="I36" s="134"/>
      <c r="J36" s="138">
        <f ca="1">IFERROR(__xludf.DUMMYFUNCTION("""COMPUTED_VALUE"""),2823250)</f>
        <v>2823250</v>
      </c>
      <c r="K36" s="138" t="str">
        <f ca="1">IFERROR(__xludf.DUMMYFUNCTION("""COMPUTED_VALUE"""),"Beginner + Intermediate")</f>
        <v>Beginner + Intermediate</v>
      </c>
      <c r="L36" s="139" t="str">
        <f ca="1">IFERROR(__xludf.DUMMYFUNCTION("""COMPUTED_VALUE"""),"Understanding Organisations and the Role of HR")</f>
        <v>Understanding Organisations and the Role of HR</v>
      </c>
      <c r="M36" s="141"/>
      <c r="N36" s="134"/>
      <c r="O36" s="134"/>
      <c r="P36" s="134"/>
      <c r="Q36" s="138">
        <f ca="1">IFERROR(__xludf.DUMMYFUNCTION("""COMPUTED_VALUE"""),548594)</f>
        <v>548594</v>
      </c>
      <c r="R36" s="138" t="str">
        <f ca="1">IFERROR(__xludf.DUMMYFUNCTION("""COMPUTED_VALUE"""),"Beginner + Intermediate")</f>
        <v>Beginner + Intermediate</v>
      </c>
      <c r="S36" s="139" t="str">
        <f ca="1">IFERROR(__xludf.DUMMYFUNCTION("""COMPUTED_VALUE"""),"Machine Learning and AI Foundations: Value Estimations")</f>
        <v>Machine Learning and AI Foundations: Value Estimations</v>
      </c>
      <c r="T36" s="141"/>
      <c r="U36" s="134"/>
      <c r="V36" s="134"/>
    </row>
    <row r="37" spans="1:22" ht="33.75" customHeight="1" x14ac:dyDescent="0.15">
      <c r="A37" s="134"/>
      <c r="B37" s="134"/>
      <c r="C37" s="138">
        <f ca="1">IFERROR(__xludf.DUMMYFUNCTION("""COMPUTED_VALUE"""),2800330)</f>
        <v>2800330</v>
      </c>
      <c r="D37" s="138" t="str">
        <f ca="1">IFERROR(__xludf.DUMMYFUNCTION("""COMPUTED_VALUE"""),"Beginner")</f>
        <v>Beginner</v>
      </c>
      <c r="E37" s="139" t="str">
        <f ca="1">IFERROR(__xludf.DUMMYFUNCTION("""COMPUTED_VALUE"""),"Foundations of Managerial Accounting")</f>
        <v>Foundations of Managerial Accounting</v>
      </c>
      <c r="F37" s="141"/>
      <c r="G37" s="134"/>
      <c r="H37" s="134"/>
      <c r="I37" s="134"/>
      <c r="J37" s="138">
        <f ca="1">IFERROR(__xludf.DUMMYFUNCTION("""COMPUTED_VALUE"""),724786)</f>
        <v>724786</v>
      </c>
      <c r="K37" s="138" t="str">
        <f ca="1">IFERROR(__xludf.DUMMYFUNCTION("""COMPUTED_VALUE"""),"Beginner + Intermediate")</f>
        <v>Beginner + Intermediate</v>
      </c>
      <c r="L37" s="139" t="str">
        <f ca="1">IFERROR(__xludf.DUMMYFUNCTION("""COMPUTED_VALUE"""),"Human Resources: Creating an Employee Handbook")</f>
        <v>Human Resources: Creating an Employee Handbook</v>
      </c>
      <c r="M37" s="141"/>
      <c r="N37" s="134"/>
      <c r="O37" s="134"/>
      <c r="P37" s="134"/>
      <c r="Q37" s="138">
        <f ca="1">IFERROR(__xludf.DUMMYFUNCTION("""COMPUTED_VALUE"""),5028662)</f>
        <v>5028662</v>
      </c>
      <c r="R37" s="138" t="str">
        <f ca="1">IFERROR(__xludf.DUMMYFUNCTION("""COMPUTED_VALUE"""),"Beginner + Intermediate")</f>
        <v>Beginner + Intermediate</v>
      </c>
      <c r="S37" s="139" t="str">
        <f ca="1">IFERROR(__xludf.DUMMYFUNCTION("""COMPUTED_VALUE"""),"Building Recommender Systems with Machine Learning and AI")</f>
        <v>Building Recommender Systems with Machine Learning and AI</v>
      </c>
      <c r="T37" s="141"/>
      <c r="U37" s="134"/>
      <c r="V37" s="134"/>
    </row>
    <row r="38" spans="1:22" ht="33.75" customHeight="1" x14ac:dyDescent="0.15">
      <c r="A38" s="134"/>
      <c r="B38" s="134"/>
      <c r="C38" s="138">
        <f ca="1">IFERROR(__xludf.DUMMYFUNCTION("""COMPUTED_VALUE"""),2812490)</f>
        <v>2812490</v>
      </c>
      <c r="D38" s="138" t="str">
        <f ca="1">IFERROR(__xludf.DUMMYFUNCTION("""COMPUTED_VALUE"""),"Beginner")</f>
        <v>Beginner</v>
      </c>
      <c r="E38" s="139" t="str">
        <f ca="1">IFERROR(__xludf.DUMMYFUNCTION("""COMPUTED_VALUE"""),"Corporate Finance Foundations")</f>
        <v>Corporate Finance Foundations</v>
      </c>
      <c r="F38" s="141"/>
      <c r="G38" s="134"/>
      <c r="H38" s="134"/>
      <c r="I38" s="134"/>
      <c r="J38" s="138">
        <f ca="1">IFERROR(__xludf.DUMMYFUNCTION("""COMPUTED_VALUE"""),704123)</f>
        <v>704123</v>
      </c>
      <c r="K38" s="138" t="str">
        <f ca="1">IFERROR(__xludf.DUMMYFUNCTION("""COMPUTED_VALUE"""),"Beginner + Intermediate")</f>
        <v>Beginner + Intermediate</v>
      </c>
      <c r="L38" s="139" t="str">
        <f ca="1">IFERROR(__xludf.DUMMYFUNCTION("""COMPUTED_VALUE"""),"Human Resources: Working with Vendors")</f>
        <v>Human Resources: Working with Vendors</v>
      </c>
      <c r="M38" s="141"/>
      <c r="N38" s="134"/>
      <c r="O38" s="134"/>
      <c r="P38" s="134"/>
      <c r="Q38" s="138">
        <f ca="1">IFERROR(__xludf.DUMMYFUNCTION("""COMPUTED_VALUE"""),5034175)</f>
        <v>5034175</v>
      </c>
      <c r="R38" s="138" t="str">
        <f ca="1">IFERROR(__xludf.DUMMYFUNCTION("""COMPUTED_VALUE"""),"Beginner + Intermediate")</f>
        <v>Beginner + Intermediate</v>
      </c>
      <c r="S38" s="139" t="str">
        <f ca="1">IFERROR(__xludf.DUMMYFUNCTION("""COMPUTED_VALUE"""),"Introduction to Deep Learning with OpenCV")</f>
        <v>Introduction to Deep Learning with OpenCV</v>
      </c>
      <c r="T38" s="141"/>
      <c r="U38" s="134"/>
      <c r="V38" s="134"/>
    </row>
    <row r="39" spans="1:22" ht="33.75" customHeight="1" x14ac:dyDescent="0.15">
      <c r="A39" s="134"/>
      <c r="B39" s="134"/>
      <c r="C39" s="138">
        <f ca="1">IFERROR(__xludf.DUMMYFUNCTION("""COMPUTED_VALUE"""),2815106)</f>
        <v>2815106</v>
      </c>
      <c r="D39" s="138" t="str">
        <f ca="1">IFERROR(__xludf.DUMMYFUNCTION("""COMPUTED_VALUE"""),"Beginner")</f>
        <v>Beginner</v>
      </c>
      <c r="E39" s="139" t="str">
        <f ca="1">IFERROR(__xludf.DUMMYFUNCTION("""COMPUTED_VALUE"""),"Financial Accounting Foundations")</f>
        <v>Financial Accounting Foundations</v>
      </c>
      <c r="F39" s="141"/>
      <c r="G39" s="134"/>
      <c r="H39" s="134"/>
      <c r="I39" s="134"/>
      <c r="J39" s="138">
        <f ca="1">IFERROR(__xludf.DUMMYFUNCTION("""COMPUTED_VALUE"""),664803)</f>
        <v>664803</v>
      </c>
      <c r="K39" s="138" t="str">
        <f ca="1">IFERROR(__xludf.DUMMYFUNCTION("""COMPUTED_VALUE"""),"Beginner + Intermediate")</f>
        <v>Beginner + Intermediate</v>
      </c>
      <c r="L39" s="139" t="str">
        <f ca="1">IFERROR(__xludf.DUMMYFUNCTION("""COMPUTED_VALUE"""),"Managing Temporary and Contract Employees")</f>
        <v>Managing Temporary and Contract Employees</v>
      </c>
      <c r="M39" s="141"/>
      <c r="N39" s="134"/>
      <c r="O39" s="134"/>
      <c r="P39" s="134"/>
      <c r="Q39" s="138">
        <f ca="1">IFERROR(__xludf.DUMMYFUNCTION("""COMPUTED_VALUE"""),2833044)</f>
        <v>2833044</v>
      </c>
      <c r="R39" s="138" t="str">
        <f ca="1">IFERROR(__xludf.DUMMYFUNCTION("""COMPUTED_VALUE"""),"Beginner + Intermediate")</f>
        <v>Beginner + Intermediate</v>
      </c>
      <c r="S39" s="139" t="str">
        <f ca="1">IFERROR(__xludf.DUMMYFUNCTION("""COMPUTED_VALUE"""),"Introduction to Responsible AI Algorithm Design")</f>
        <v>Introduction to Responsible AI Algorithm Design</v>
      </c>
      <c r="T39" s="141"/>
      <c r="U39" s="134"/>
      <c r="V39" s="134"/>
    </row>
    <row r="40" spans="1:22" ht="33.75" customHeight="1" x14ac:dyDescent="0.15">
      <c r="A40" s="134"/>
      <c r="B40" s="134"/>
      <c r="C40" s="138">
        <f ca="1">IFERROR(__xludf.DUMMYFUNCTION("""COMPUTED_VALUE"""),5043068)</f>
        <v>5043068</v>
      </c>
      <c r="D40" s="138" t="str">
        <f ca="1">IFERROR(__xludf.DUMMYFUNCTION("""COMPUTED_VALUE"""),"Beginner")</f>
        <v>Beginner</v>
      </c>
      <c r="E40" s="139" t="str">
        <f ca="1">IFERROR(__xludf.DUMMYFUNCTION("""COMPUTED_VALUE"""),"Behavioral Finance Foundations")</f>
        <v>Behavioral Finance Foundations</v>
      </c>
      <c r="F40" s="141"/>
      <c r="G40" s="134"/>
      <c r="H40" s="134"/>
      <c r="I40" s="134"/>
      <c r="J40" s="138">
        <f ca="1">IFERROR(__xludf.DUMMYFUNCTION("""COMPUTED_VALUE"""),452091)</f>
        <v>452091</v>
      </c>
      <c r="K40" s="138" t="str">
        <f ca="1">IFERROR(__xludf.DUMMYFUNCTION("""COMPUTED_VALUE"""),"Beginner + Intermediate")</f>
        <v>Beginner + Intermediate</v>
      </c>
      <c r="L40" s="139" t="str">
        <f ca="1">IFERROR(__xludf.DUMMYFUNCTION("""COMPUTED_VALUE"""),"Recruiting Foundations")</f>
        <v>Recruiting Foundations</v>
      </c>
      <c r="M40" s="141"/>
      <c r="N40" s="134"/>
      <c r="O40" s="134"/>
      <c r="P40" s="134"/>
      <c r="Q40" s="138">
        <f ca="1">IFERROR(__xludf.DUMMYFUNCTION("""COMPUTED_VALUE"""),3107157)</f>
        <v>3107157</v>
      </c>
      <c r="R40" s="138" t="str">
        <f ca="1">IFERROR(__xludf.DUMMYFUNCTION("""COMPUTED_VALUE"""),"General")</f>
        <v>General</v>
      </c>
      <c r="S40" s="139" t="str">
        <f ca="1">IFERROR(__xludf.DUMMYFUNCTION("""COMPUTED_VALUE"""),"First Look: Python 3.9")</f>
        <v>First Look: Python 3.9</v>
      </c>
      <c r="T40" s="141"/>
      <c r="U40" s="134"/>
      <c r="V40" s="134"/>
    </row>
    <row r="41" spans="1:22" ht="33.75" customHeight="1" x14ac:dyDescent="0.15">
      <c r="A41" s="134"/>
      <c r="B41" s="134"/>
      <c r="C41" s="138">
        <f ca="1">IFERROR(__xludf.DUMMYFUNCTION("""COMPUTED_VALUE"""),2863039)</f>
        <v>2863039</v>
      </c>
      <c r="D41" s="138" t="str">
        <f ca="1">IFERROR(__xludf.DUMMYFUNCTION("""COMPUTED_VALUE"""),"Beginner + Intermediate")</f>
        <v>Beginner + Intermediate</v>
      </c>
      <c r="E41" s="139" t="str">
        <f ca="1">IFERROR(__xludf.DUMMYFUNCTION("""COMPUTED_VALUE"""),"Analyzing a Real Estate Deal")</f>
        <v>Analyzing a Real Estate Deal</v>
      </c>
      <c r="F41" s="141"/>
      <c r="G41" s="134"/>
      <c r="H41" s="134"/>
      <c r="I41" s="134"/>
      <c r="J41" s="138">
        <f ca="1">IFERROR(__xludf.DUMMYFUNCTION("""COMPUTED_VALUE"""),661748)</f>
        <v>661748</v>
      </c>
      <c r="K41" s="138" t="str">
        <f ca="1">IFERROR(__xludf.DUMMYFUNCTION("""COMPUTED_VALUE"""),"Beginner + Intermediate")</f>
        <v>Beginner + Intermediate</v>
      </c>
      <c r="L41" s="139" t="str">
        <f ca="1">IFERROR(__xludf.DUMMYFUNCTION("""COMPUTED_VALUE"""),"Rewarding Employee Performance")</f>
        <v>Rewarding Employee Performance</v>
      </c>
      <c r="M41" s="141"/>
      <c r="N41" s="134"/>
      <c r="O41" s="134"/>
      <c r="P41" s="134"/>
      <c r="Q41" s="138">
        <f ca="1">IFERROR(__xludf.DUMMYFUNCTION("""COMPUTED_VALUE"""),2848240)</f>
        <v>2848240</v>
      </c>
      <c r="R41" s="138" t="str">
        <f ca="1">IFERROR(__xludf.DUMMYFUNCTION("""COMPUTED_VALUE"""),"General")</f>
        <v>General</v>
      </c>
      <c r="S41" s="139" t="str">
        <f ca="1">IFERROR(__xludf.DUMMYFUNCTION("""COMPUTED_VALUE"""),"Outlook: Automating Your Email with Mail Rules")</f>
        <v>Outlook: Automating Your Email with Mail Rules</v>
      </c>
      <c r="T41" s="141"/>
      <c r="U41" s="134"/>
      <c r="V41" s="134"/>
    </row>
    <row r="42" spans="1:22" ht="33.75" customHeight="1" x14ac:dyDescent="0.15">
      <c r="A42" s="134"/>
      <c r="B42" s="134"/>
      <c r="C42" s="138">
        <f ca="1">IFERROR(__xludf.DUMMYFUNCTION("""COMPUTED_VALUE"""),173882)</f>
        <v>173882</v>
      </c>
      <c r="D42" s="138" t="str">
        <f ca="1">IFERROR(__xludf.DUMMYFUNCTION("""COMPUTED_VALUE"""),"Beginner + Intermediate")</f>
        <v>Beginner + Intermediate</v>
      </c>
      <c r="E42" s="139" t="str">
        <f ca="1">IFERROR(__xludf.DUMMYFUNCTION("""COMPUTED_VALUE"""),"QuickBooks Payroll Essential Training")</f>
        <v>QuickBooks Payroll Essential Training</v>
      </c>
      <c r="F42" s="141"/>
      <c r="G42" s="134"/>
      <c r="H42" s="134"/>
      <c r="I42" s="134"/>
      <c r="J42" s="138">
        <f ca="1">IFERROR(__xludf.DUMMYFUNCTION("""COMPUTED_VALUE"""),2817013)</f>
        <v>2817013</v>
      </c>
      <c r="K42" s="138" t="str">
        <f ca="1">IFERROR(__xludf.DUMMYFUNCTION("""COMPUTED_VALUE"""),"General")</f>
        <v>General</v>
      </c>
      <c r="L42" s="139" t="str">
        <f ca="1">IFERROR(__xludf.DUMMYFUNCTION("""COMPUTED_VALUE"""),"Letting an Employee Go")</f>
        <v>Letting an Employee Go</v>
      </c>
      <c r="M42" s="141"/>
      <c r="N42" s="134"/>
      <c r="O42" s="134"/>
      <c r="P42" s="134"/>
      <c r="Q42" s="138">
        <f ca="1">IFERROR(__xludf.DUMMYFUNCTION("""COMPUTED_VALUE"""),2808537)</f>
        <v>2808537</v>
      </c>
      <c r="R42" s="138" t="str">
        <f ca="1">IFERROR(__xludf.DUMMYFUNCTION("""COMPUTED_VALUE"""),"Intermediate")</f>
        <v>Intermediate</v>
      </c>
      <c r="S42" s="139" t="str">
        <f ca="1">IFERROR(__xludf.DUMMYFUNCTION("""COMPUTED_VALUE"""),"Learning SAP MM (Materials Management)")</f>
        <v>Learning SAP MM (Materials Management)</v>
      </c>
      <c r="T42" s="141"/>
      <c r="U42" s="134"/>
      <c r="V42" s="134"/>
    </row>
    <row r="43" spans="1:22" ht="33.75" customHeight="1" x14ac:dyDescent="0.15">
      <c r="A43" s="134"/>
      <c r="B43" s="134"/>
      <c r="C43" s="138">
        <f ca="1">IFERROR(__xludf.DUMMYFUNCTION("""COMPUTED_VALUE"""),2814131)</f>
        <v>2814131</v>
      </c>
      <c r="D43" s="138" t="str">
        <f ca="1">IFERROR(__xludf.DUMMYFUNCTION("""COMPUTED_VALUE"""),"Beginner + Intermediate")</f>
        <v>Beginner + Intermediate</v>
      </c>
      <c r="E43" s="139" t="str">
        <f ca="1">IFERROR(__xludf.DUMMYFUNCTION("""COMPUTED_VALUE"""),"Business Financials Explained")</f>
        <v>Business Financials Explained</v>
      </c>
      <c r="F43" s="141"/>
      <c r="G43" s="134"/>
      <c r="H43" s="134"/>
      <c r="I43" s="134"/>
      <c r="J43" s="138">
        <f ca="1">IFERROR(__xludf.DUMMYFUNCTION("""COMPUTED_VALUE"""),2832011)</f>
        <v>2832011</v>
      </c>
      <c r="K43" s="138" t="str">
        <f ca="1">IFERROR(__xludf.DUMMYFUNCTION("""COMPUTED_VALUE"""),"General")</f>
        <v>General</v>
      </c>
      <c r="L43" s="139" t="str">
        <f ca="1">IFERROR(__xludf.DUMMYFUNCTION("""COMPUTED_VALUE"""),"Establishing Work from Home Policies")</f>
        <v>Establishing Work from Home Policies</v>
      </c>
      <c r="M43" s="141"/>
      <c r="N43" s="134"/>
      <c r="O43" s="134"/>
      <c r="P43" s="134"/>
      <c r="Q43" s="138">
        <f ca="1">IFERROR(__xludf.DUMMYFUNCTION("""COMPUTED_VALUE"""),2809586)</f>
        <v>2809586</v>
      </c>
      <c r="R43" s="138" t="str">
        <f ca="1">IFERROR(__xludf.DUMMYFUNCTION("""COMPUTED_VALUE"""),"Intermediate")</f>
        <v>Intermediate</v>
      </c>
      <c r="S43" s="139" t="str">
        <f ca="1">IFERROR(__xludf.DUMMYFUNCTION("""COMPUTED_VALUE"""),"Access 2019: Building Dashboards for Excel")</f>
        <v>Access 2019: Building Dashboards for Excel</v>
      </c>
      <c r="T43" s="141"/>
      <c r="U43" s="134"/>
      <c r="V43" s="134"/>
    </row>
    <row r="44" spans="1:22" ht="33.75" customHeight="1" x14ac:dyDescent="0.15">
      <c r="A44" s="134"/>
      <c r="B44" s="134"/>
      <c r="C44" s="138">
        <f ca="1">IFERROR(__xludf.DUMMYFUNCTION("""COMPUTED_VALUE"""),2815107)</f>
        <v>2815107</v>
      </c>
      <c r="D44" s="138" t="str">
        <f ca="1">IFERROR(__xludf.DUMMYFUNCTION("""COMPUTED_VALUE"""),"Beginner + Intermediate")</f>
        <v>Beginner + Intermediate</v>
      </c>
      <c r="E44" s="139" t="str">
        <f ca="1">IFERROR(__xludf.DUMMYFUNCTION("""COMPUTED_VALUE"""),"Income Statement (P&amp;L) and Cash Flow Explained")</f>
        <v>Income Statement (P&amp;L) and Cash Flow Explained</v>
      </c>
      <c r="F44" s="141"/>
      <c r="G44" s="134"/>
      <c r="H44" s="134"/>
      <c r="I44" s="134"/>
      <c r="J44" s="138">
        <f ca="1">IFERROR(__xludf.DUMMYFUNCTION("""COMPUTED_VALUE"""),5028612)</f>
        <v>5028612</v>
      </c>
      <c r="K44" s="138" t="str">
        <f ca="1">IFERROR(__xludf.DUMMYFUNCTION("""COMPUTED_VALUE"""),"General")</f>
        <v>General</v>
      </c>
      <c r="L44" s="139" t="str">
        <f ca="1">IFERROR(__xludf.DUMMYFUNCTION("""COMPUTED_VALUE"""),"Bystander Training: From Bystander to Upstander")</f>
        <v>Bystander Training: From Bystander to Upstander</v>
      </c>
      <c r="M44" s="141"/>
      <c r="N44" s="134"/>
      <c r="O44" s="134"/>
      <c r="P44" s="134"/>
      <c r="Q44" s="138">
        <f ca="1">IFERROR(__xludf.DUMMYFUNCTION("""COMPUTED_VALUE"""),2809587)</f>
        <v>2809587</v>
      </c>
      <c r="R44" s="138" t="str">
        <f ca="1">IFERROR(__xludf.DUMMYFUNCTION("""COMPUTED_VALUE"""),"Intermediate")</f>
        <v>Intermediate</v>
      </c>
      <c r="S44" s="139" t="str">
        <f ca="1">IFERROR(__xludf.DUMMYFUNCTION("""COMPUTED_VALUE"""),"Learning SAP SD (Sales and Distribution)")</f>
        <v>Learning SAP SD (Sales and Distribution)</v>
      </c>
      <c r="T44" s="141"/>
      <c r="U44" s="134"/>
      <c r="V44" s="134"/>
    </row>
    <row r="45" spans="1:22" ht="33.75" customHeight="1" x14ac:dyDescent="0.15">
      <c r="A45" s="134"/>
      <c r="B45" s="134"/>
      <c r="C45" s="138">
        <f ca="1">IFERROR(__xludf.DUMMYFUNCTION("""COMPUTED_VALUE"""),2837224)</f>
        <v>2837224</v>
      </c>
      <c r="D45" s="138" t="str">
        <f ca="1">IFERROR(__xludf.DUMMYFUNCTION("""COMPUTED_VALUE"""),"Beginner + Intermediate")</f>
        <v>Beginner + Intermediate</v>
      </c>
      <c r="E45" s="139" t="str">
        <f ca="1">IFERROR(__xludf.DUMMYFUNCTION("""COMPUTED_VALUE"""),"Economics for Everyone: Understanding a Recession")</f>
        <v>Economics for Everyone: Understanding a Recession</v>
      </c>
      <c r="F45" s="141"/>
      <c r="G45" s="134"/>
      <c r="H45" s="134"/>
      <c r="I45" s="134"/>
      <c r="J45" s="138">
        <f ca="1">IFERROR(__xludf.DUMMYFUNCTION("""COMPUTED_VALUE"""),716048)</f>
        <v>716048</v>
      </c>
      <c r="K45" s="138" t="str">
        <f ca="1">IFERROR(__xludf.DUMMYFUNCTION("""COMPUTED_VALUE"""),"General")</f>
        <v>General</v>
      </c>
      <c r="L45" s="139" t="str">
        <f ca="1">IFERROR(__xludf.DUMMYFUNCTION("""COMPUTED_VALUE"""),"Preventing Harassment in the Workplace")</f>
        <v>Preventing Harassment in the Workplace</v>
      </c>
      <c r="M45" s="141"/>
      <c r="N45" s="134"/>
      <c r="O45" s="134"/>
      <c r="P45" s="134"/>
      <c r="Q45" s="138">
        <f ca="1">IFERROR(__xludf.DUMMYFUNCTION("""COMPUTED_VALUE"""),782130)</f>
        <v>782130</v>
      </c>
      <c r="R45" s="138" t="str">
        <f ca="1">IFERROR(__xludf.DUMMYFUNCTION("""COMPUTED_VALUE"""),"Intermediate")</f>
        <v>Intermediate</v>
      </c>
      <c r="S45" s="139" t="str">
        <f ca="1">IFERROR(__xludf.DUMMYFUNCTION("""COMPUTED_VALUE"""),"Scaling Applications with Microsoft Azure")</f>
        <v>Scaling Applications with Microsoft Azure</v>
      </c>
      <c r="T45" s="141"/>
      <c r="U45" s="134"/>
      <c r="V45" s="134"/>
    </row>
    <row r="46" spans="1:22" ht="33.75" customHeight="1" x14ac:dyDescent="0.15">
      <c r="A46" s="134"/>
      <c r="B46" s="134"/>
      <c r="C46" s="138">
        <f ca="1">IFERROR(__xludf.DUMMYFUNCTION("""COMPUTED_VALUE"""),765313)</f>
        <v>765313</v>
      </c>
      <c r="D46" s="138" t="str">
        <f ca="1">IFERROR(__xludf.DUMMYFUNCTION("""COMPUTED_VALUE"""),"Beginner + Intermediate")</f>
        <v>Beginner + Intermediate</v>
      </c>
      <c r="E46" s="139" t="str">
        <f ca="1">IFERROR(__xludf.DUMMYFUNCTION("""COMPUTED_VALUE"""),"Developing Investment Acumen")</f>
        <v>Developing Investment Acumen</v>
      </c>
      <c r="F46" s="141"/>
      <c r="G46" s="134"/>
      <c r="H46" s="134"/>
      <c r="I46" s="134"/>
      <c r="J46" s="138">
        <f ca="1">IFERROR(__xludf.DUMMYFUNCTION("""COMPUTED_VALUE"""),2860033)</f>
        <v>2860033</v>
      </c>
      <c r="K46" s="138" t="str">
        <f ca="1">IFERROR(__xludf.DUMMYFUNCTION("""COMPUTED_VALUE"""),"General")</f>
        <v>General</v>
      </c>
      <c r="L46" s="139" t="str">
        <f ca="1">IFERROR(__xludf.DUMMYFUNCTION("""COMPUTED_VALUE"""),"Adding Value through Diversity")</f>
        <v>Adding Value through Diversity</v>
      </c>
      <c r="M46" s="141"/>
      <c r="N46" s="134"/>
      <c r="O46" s="134"/>
      <c r="P46" s="134"/>
      <c r="Q46" s="138">
        <f ca="1">IFERROR(__xludf.DUMMYFUNCTION("""COMPUTED_VALUE"""),2853006)</f>
        <v>2853006</v>
      </c>
      <c r="R46" s="138" t="str">
        <f ca="1">IFERROR(__xludf.DUMMYFUNCTION("""COMPUTED_VALUE"""),"Intermediate")</f>
        <v>Intermediate</v>
      </c>
      <c r="S46" s="139" t="str">
        <f ca="1">IFERROR(__xludf.DUMMYFUNCTION("""COMPUTED_VALUE"""),"PowerPoint: Eight Easy Ways to Make Your Presentation Stand Out")</f>
        <v>PowerPoint: Eight Easy Ways to Make Your Presentation Stand Out</v>
      </c>
      <c r="T46" s="141"/>
      <c r="U46" s="134"/>
      <c r="V46" s="134"/>
    </row>
    <row r="47" spans="1:22" ht="33.75" customHeight="1" x14ac:dyDescent="0.15">
      <c r="A47" s="134"/>
      <c r="B47" s="134"/>
      <c r="C47" s="138">
        <f ca="1">IFERROR(__xludf.DUMMYFUNCTION("""COMPUTED_VALUE"""),565365)</f>
        <v>565365</v>
      </c>
      <c r="D47" s="138" t="str">
        <f ca="1">IFERROR(__xludf.DUMMYFUNCTION("""COMPUTED_VALUE"""),"Beginner + Intermediate")</f>
        <v>Beginner + Intermediate</v>
      </c>
      <c r="E47" s="139" t="str">
        <f ca="1">IFERROR(__xludf.DUMMYFUNCTION("""COMPUTED_VALUE"""),"Finance and Accounting Tips")</f>
        <v>Finance and Accounting Tips</v>
      </c>
      <c r="F47" s="141"/>
      <c r="G47" s="134"/>
      <c r="H47" s="134"/>
      <c r="I47" s="134"/>
      <c r="J47" s="138">
        <f ca="1">IFERROR(__xludf.DUMMYFUNCTION("""COMPUTED_VALUE"""),2824355)</f>
        <v>2824355</v>
      </c>
      <c r="K47" s="138" t="str">
        <f ca="1">IFERROR(__xludf.DUMMYFUNCTION("""COMPUTED_VALUE"""),"General")</f>
        <v>General</v>
      </c>
      <c r="L47" s="139" t="str">
        <f ca="1">IFERROR(__xludf.DUMMYFUNCTION("""COMPUTED_VALUE"""),"Addiction: A Community Issue")</f>
        <v>Addiction: A Community Issue</v>
      </c>
      <c r="M47" s="141"/>
      <c r="N47" s="134"/>
      <c r="O47" s="134"/>
      <c r="P47" s="134"/>
      <c r="Q47" s="138">
        <f ca="1">IFERROR(__xludf.DUMMYFUNCTION("""COMPUTED_VALUE"""),2814070)</f>
        <v>2814070</v>
      </c>
      <c r="R47" s="138" t="str">
        <f ca="1">IFERROR(__xludf.DUMMYFUNCTION("""COMPUTED_VALUE"""),"Intermediate")</f>
        <v>Intermediate</v>
      </c>
      <c r="S47" s="139" t="str">
        <f ca="1">IFERROR(__xludf.DUMMYFUNCTION("""COMPUTED_VALUE"""),"Applied AI for Human Resources")</f>
        <v>Applied AI for Human Resources</v>
      </c>
      <c r="T47" s="141"/>
      <c r="U47" s="134"/>
      <c r="V47" s="134"/>
    </row>
    <row r="48" spans="1:22" ht="33.75" customHeight="1" x14ac:dyDescent="0.15">
      <c r="A48" s="134"/>
      <c r="B48" s="134"/>
      <c r="C48" s="138">
        <f ca="1">IFERROR(__xludf.DUMMYFUNCTION("""COMPUTED_VALUE"""),5005044)</f>
        <v>5005044</v>
      </c>
      <c r="D48" s="138" t="str">
        <f ca="1">IFERROR(__xludf.DUMMYFUNCTION("""COMPUTED_VALUE"""),"Beginner + Intermediate")</f>
        <v>Beginner + Intermediate</v>
      </c>
      <c r="E48" s="139" t="str">
        <f ca="1">IFERROR(__xludf.DUMMYFUNCTION("""COMPUTED_VALUE"""),"Activity-Based Costing")</f>
        <v>Activity-Based Costing</v>
      </c>
      <c r="F48" s="152"/>
      <c r="G48" s="134"/>
      <c r="H48" s="134"/>
      <c r="I48" s="134"/>
      <c r="J48" s="138">
        <f ca="1">IFERROR(__xludf.DUMMYFUNCTION("""COMPUTED_VALUE"""),628688)</f>
        <v>628688</v>
      </c>
      <c r="K48" s="138" t="str">
        <f ca="1">IFERROR(__xludf.DUMMYFUNCTION("""COMPUTED_VALUE"""),"Intermediate")</f>
        <v>Intermediate</v>
      </c>
      <c r="L48" s="139" t="str">
        <f ca="1">IFERROR(__xludf.DUMMYFUNCTION("""COMPUTED_VALUE"""),"Introduction to the PHR Certification Exam")</f>
        <v>Introduction to the PHR Certification Exam</v>
      </c>
      <c r="M48" s="152"/>
      <c r="N48" s="134"/>
      <c r="O48" s="134"/>
      <c r="P48" s="134"/>
      <c r="Q48" s="138">
        <f ca="1">IFERROR(__xludf.DUMMYFUNCTION("""COMPUTED_VALUE"""),2849034)</f>
        <v>2849034</v>
      </c>
      <c r="R48" s="138" t="str">
        <f ca="1">IFERROR(__xludf.DUMMYFUNCTION("""COMPUTED_VALUE"""),"Intermediate")</f>
        <v>Intermediate</v>
      </c>
      <c r="S48" s="139" t="str">
        <f ca="1">IFERROR(__xludf.DUMMYFUNCTION("""COMPUTED_VALUE"""),"Using Microsoft Teams and Outlook Together: Maximizing Productivity")</f>
        <v>Using Microsoft Teams and Outlook Together: Maximizing Productivity</v>
      </c>
      <c r="T48" s="152"/>
      <c r="U48" s="134"/>
      <c r="V48" s="134"/>
    </row>
    <row r="49" spans="1:22" ht="33.75" customHeight="1" x14ac:dyDescent="0.15">
      <c r="A49" s="134"/>
      <c r="B49" s="134"/>
      <c r="C49" s="138">
        <f ca="1">IFERROR(__xludf.DUMMYFUNCTION("""COMPUTED_VALUE"""),5043069)</f>
        <v>5043069</v>
      </c>
      <c r="D49" s="138" t="str">
        <f ca="1">IFERROR(__xludf.DUMMYFUNCTION("""COMPUTED_VALUE"""),"Beginner + Intermediate")</f>
        <v>Beginner + Intermediate</v>
      </c>
      <c r="E49" s="139" t="str">
        <f ca="1">IFERROR(__xludf.DUMMYFUNCTION("""COMPUTED_VALUE"""),"Corporate Financial Statement Analysis")</f>
        <v>Corporate Financial Statement Analysis</v>
      </c>
      <c r="F49" s="152"/>
      <c r="G49" s="134"/>
      <c r="H49" s="134"/>
      <c r="I49" s="134"/>
      <c r="J49" s="138">
        <f ca="1">IFERROR(__xludf.DUMMYFUNCTION("""COMPUTED_VALUE"""),2841297)</f>
        <v>2841297</v>
      </c>
      <c r="K49" s="138" t="str">
        <f ca="1">IFERROR(__xludf.DUMMYFUNCTION("""COMPUTED_VALUE"""),"Intermediate")</f>
        <v>Intermediate</v>
      </c>
      <c r="L49" s="139" t="str">
        <f ca="1">IFERROR(__xludf.DUMMYFUNCTION("""COMPUTED_VALUE"""),"Virtual Interviewing for HR")</f>
        <v>Virtual Interviewing for HR</v>
      </c>
      <c r="M49" s="152"/>
      <c r="N49" s="134"/>
      <c r="O49" s="134"/>
      <c r="P49" s="134"/>
      <c r="Q49" s="138">
        <f ca="1">IFERROR(__xludf.DUMMYFUNCTION("""COMPUTED_VALUE"""),2828008)</f>
        <v>2828008</v>
      </c>
      <c r="R49" s="138" t="str">
        <f ca="1">IFERROR(__xludf.DUMMYFUNCTION("""COMPUTED_VALUE"""),"Intermediate")</f>
        <v>Intermediate</v>
      </c>
      <c r="S49" s="139" t="str">
        <f ca="1">IFERROR(__xludf.DUMMYFUNCTION("""COMPUTED_VALUE"""),"Microsoft Teams: Successful Meetings and Events")</f>
        <v>Microsoft Teams: Successful Meetings and Events</v>
      </c>
      <c r="T49" s="152"/>
      <c r="U49" s="134"/>
      <c r="V49" s="134"/>
    </row>
    <row r="50" spans="1:22" ht="33.75" customHeight="1" x14ac:dyDescent="0.15">
      <c r="A50" s="134"/>
      <c r="B50" s="134"/>
      <c r="C50" s="138">
        <f ca="1">IFERROR(__xludf.DUMMYFUNCTION("""COMPUTED_VALUE"""),639059)</f>
        <v>639059</v>
      </c>
      <c r="D50" s="138" t="str">
        <f ca="1">IFERROR(__xludf.DUMMYFUNCTION("""COMPUTED_VALUE"""),"Beginner + Intermediate")</f>
        <v>Beginner + Intermediate</v>
      </c>
      <c r="E50" s="139" t="str">
        <f ca="1">IFERROR(__xludf.DUMMYFUNCTION("""COMPUTED_VALUE"""),"Financial Record Keeping")</f>
        <v>Financial Record Keeping</v>
      </c>
      <c r="F50" s="152"/>
      <c r="G50" s="134"/>
      <c r="H50" s="134"/>
      <c r="I50" s="134"/>
      <c r="J50" s="138">
        <f ca="1">IFERROR(__xludf.DUMMYFUNCTION("""COMPUTED_VALUE"""),444923)</f>
        <v>444923</v>
      </c>
      <c r="K50" s="138" t="str">
        <f ca="1">IFERROR(__xludf.DUMMYFUNCTION("""COMPUTED_VALUE"""),"Intermediate")</f>
        <v>Intermediate</v>
      </c>
      <c r="L50" s="139" t="str">
        <f ca="1">IFERROR(__xludf.DUMMYFUNCTION("""COMPUTED_VALUE"""),"Administrative Human Resources")</f>
        <v>Administrative Human Resources</v>
      </c>
      <c r="M50" s="152"/>
      <c r="N50" s="134"/>
      <c r="O50" s="134"/>
      <c r="P50" s="134"/>
      <c r="Q50" s="138">
        <f ca="1">IFERROR(__xludf.DUMMYFUNCTION("""COMPUTED_VALUE"""),656788)</f>
        <v>656788</v>
      </c>
      <c r="R50" s="138" t="str">
        <f ca="1">IFERROR(__xludf.DUMMYFUNCTION("""COMPUTED_VALUE"""),"Intermediate")</f>
        <v>Intermediate</v>
      </c>
      <c r="S50" s="139" t="str">
        <f ca="1">IFERROR(__xludf.DUMMYFUNCTION("""COMPUTED_VALUE"""),"Business Apps for SharePoint Monthly")</f>
        <v>Business Apps for SharePoint Monthly</v>
      </c>
      <c r="T50" s="152"/>
      <c r="U50" s="134"/>
      <c r="V50" s="134"/>
    </row>
    <row r="51" spans="1:22" ht="33.75" customHeight="1" x14ac:dyDescent="0.15">
      <c r="A51" s="134"/>
      <c r="B51" s="134"/>
      <c r="C51" s="138">
        <f ca="1">IFERROR(__xludf.DUMMYFUNCTION("""COMPUTED_VALUE"""),2975162)</f>
        <v>2975162</v>
      </c>
      <c r="D51" s="138" t="str">
        <f ca="1">IFERROR(__xludf.DUMMYFUNCTION("""COMPUTED_VALUE"""),"General")</f>
        <v>General</v>
      </c>
      <c r="E51" s="139" t="str">
        <f ca="1">IFERROR(__xludf.DUMMYFUNCTION("""COMPUTED_VALUE"""),"Recovering from a Financial Setback")</f>
        <v>Recovering from a Financial Setback</v>
      </c>
      <c r="F51" s="152"/>
      <c r="G51" s="134"/>
      <c r="H51" s="134"/>
      <c r="I51" s="134"/>
      <c r="J51" s="138">
        <f ca="1">IFERROR(__xludf.DUMMYFUNCTION("""COMPUTED_VALUE"""),2803421)</f>
        <v>2803421</v>
      </c>
      <c r="K51" s="138" t="str">
        <f ca="1">IFERROR(__xludf.DUMMYFUNCTION("""COMPUTED_VALUE"""),"Intermediate")</f>
        <v>Intermediate</v>
      </c>
      <c r="L51" s="139" t="str">
        <f ca="1">IFERROR(__xludf.DUMMYFUNCTION("""COMPUTED_VALUE"""),"Building a Talent Pipeline from New Recruits to Leadership")</f>
        <v>Building a Talent Pipeline from New Recruits to Leadership</v>
      </c>
      <c r="M51" s="152"/>
      <c r="N51" s="134"/>
      <c r="O51" s="134"/>
      <c r="P51" s="134"/>
      <c r="Q51" s="138">
        <f ca="1">IFERROR(__xludf.DUMMYFUNCTION("""COMPUTED_VALUE"""),2814069)</f>
        <v>2814069</v>
      </c>
      <c r="R51" s="138" t="str">
        <f ca="1">IFERROR(__xludf.DUMMYFUNCTION("""COMPUTED_VALUE"""),"Intermediate")</f>
        <v>Intermediate</v>
      </c>
      <c r="S51" s="139" t="str">
        <f ca="1">IFERROR(__xludf.DUMMYFUNCTION("""COMPUTED_VALUE"""),"Applied AI for IT Operations")</f>
        <v>Applied AI for IT Operations</v>
      </c>
      <c r="T51" s="152"/>
      <c r="U51" s="134"/>
      <c r="V51" s="134"/>
    </row>
    <row r="52" spans="1:22" ht="33.75" customHeight="1" x14ac:dyDescent="0.15">
      <c r="A52" s="134"/>
      <c r="B52" s="134"/>
      <c r="C52" s="138">
        <f ca="1">IFERROR(__xludf.DUMMYFUNCTION("""COMPUTED_VALUE"""),786357)</f>
        <v>786357</v>
      </c>
      <c r="D52" s="138" t="str">
        <f ca="1">IFERROR(__xludf.DUMMYFUNCTION("""COMPUTED_VALUE"""),"General")</f>
        <v>General</v>
      </c>
      <c r="E52" s="139" t="str">
        <f ca="1">IFERROR(__xludf.DUMMYFUNCTION("""COMPUTED_VALUE"""),"Financial Basics Everyone Should Know")</f>
        <v>Financial Basics Everyone Should Know</v>
      </c>
      <c r="F52" s="152"/>
      <c r="G52" s="134"/>
      <c r="H52" s="134"/>
      <c r="I52" s="134"/>
      <c r="J52" s="138">
        <f ca="1">IFERROR(__xludf.DUMMYFUNCTION("""COMPUTED_VALUE"""),599603)</f>
        <v>599603</v>
      </c>
      <c r="K52" s="138" t="str">
        <f ca="1">IFERROR(__xludf.DUMMYFUNCTION("""COMPUTED_VALUE"""),"Intermediate")</f>
        <v>Intermediate</v>
      </c>
      <c r="L52" s="139" t="str">
        <f ca="1">IFERROR(__xludf.DUMMYFUNCTION("""COMPUTED_VALUE"""),"Communicating Employee Rewards")</f>
        <v>Communicating Employee Rewards</v>
      </c>
      <c r="M52" s="152"/>
      <c r="N52" s="134"/>
      <c r="O52" s="134"/>
      <c r="P52" s="134"/>
      <c r="Q52" s="138">
        <f ca="1">IFERROR(__xludf.DUMMYFUNCTION("""COMPUTED_VALUE"""),731739)</f>
        <v>731739</v>
      </c>
      <c r="R52" s="138" t="str">
        <f ca="1">IFERROR(__xludf.DUMMYFUNCTION("""COMPUTED_VALUE"""),"Intermediate")</f>
        <v>Intermediate</v>
      </c>
      <c r="S52" s="139" t="str">
        <f ca="1">IFERROR(__xludf.DUMMYFUNCTION("""COMPUTED_VALUE"""),"Manage Apps with Configuration Manager")</f>
        <v>Manage Apps with Configuration Manager</v>
      </c>
      <c r="T52" s="152"/>
      <c r="U52" s="134"/>
      <c r="V52" s="134"/>
    </row>
    <row r="53" spans="1:22" ht="33.75" customHeight="1" x14ac:dyDescent="0.15">
      <c r="A53" s="134"/>
      <c r="B53" s="134"/>
      <c r="C53" s="138">
        <f ca="1">IFERROR(__xludf.DUMMYFUNCTION("""COMPUTED_VALUE"""),2823320)</f>
        <v>2823320</v>
      </c>
      <c r="D53" s="138" t="str">
        <f ca="1">IFERROR(__xludf.DUMMYFUNCTION("""COMPUTED_VALUE"""),"General")</f>
        <v>General</v>
      </c>
      <c r="E53" s="139" t="str">
        <f ca="1">IFERROR(__xludf.DUMMYFUNCTION("""COMPUTED_VALUE"""),"Lean Accounting Foundations")</f>
        <v>Lean Accounting Foundations</v>
      </c>
      <c r="F53" s="152"/>
      <c r="G53" s="134"/>
      <c r="H53" s="134"/>
      <c r="I53" s="134"/>
      <c r="J53" s="138">
        <f ca="1">IFERROR(__xludf.DUMMYFUNCTION("""COMPUTED_VALUE"""),601770)</f>
        <v>601770</v>
      </c>
      <c r="K53" s="138" t="str">
        <f ca="1">IFERROR(__xludf.DUMMYFUNCTION("""COMPUTED_VALUE"""),"Intermediate")</f>
        <v>Intermediate</v>
      </c>
      <c r="L53" s="139" t="str">
        <f ca="1">IFERROR(__xludf.DUMMYFUNCTION("""COMPUTED_VALUE"""),"Creating a Compelling Job Description")</f>
        <v>Creating a Compelling Job Description</v>
      </c>
      <c r="M53" s="152"/>
      <c r="N53" s="134"/>
      <c r="O53" s="134"/>
      <c r="P53" s="134"/>
      <c r="Q53" s="138">
        <f ca="1">IFERROR(__xludf.DUMMYFUNCTION("""COMPUTED_VALUE"""),574705)</f>
        <v>574705</v>
      </c>
      <c r="R53" s="138" t="str">
        <f ca="1">IFERROR(__xludf.DUMMYFUNCTION("""COMPUTED_VALUE"""),"Intermediate")</f>
        <v>Intermediate</v>
      </c>
      <c r="S53" s="139" t="str">
        <f ca="1">IFERROR(__xludf.DUMMYFUNCTION("""COMPUTED_VALUE"""),"DevOps Foundations: Infrastructure as Code")</f>
        <v>DevOps Foundations: Infrastructure as Code</v>
      </c>
      <c r="T53" s="152"/>
      <c r="U53" s="134"/>
      <c r="V53" s="134"/>
    </row>
    <row r="54" spans="1:22" ht="33.75" customHeight="1" x14ac:dyDescent="0.15">
      <c r="A54" s="134"/>
      <c r="B54" s="134"/>
      <c r="C54" s="138">
        <f ca="1">IFERROR(__xludf.DUMMYFUNCTION("""COMPUTED_VALUE"""),2823389)</f>
        <v>2823389</v>
      </c>
      <c r="D54" s="138" t="str">
        <f ca="1">IFERROR(__xludf.DUMMYFUNCTION("""COMPUTED_VALUE"""),"General")</f>
        <v>General</v>
      </c>
      <c r="E54" s="139" t="str">
        <f ca="1">IFERROR(__xludf.DUMMYFUNCTION("""COMPUTED_VALUE"""),"Economics for Business Leaders")</f>
        <v>Economics for Business Leaders</v>
      </c>
      <c r="F54" s="152"/>
      <c r="G54" s="134"/>
      <c r="H54" s="134"/>
      <c r="I54" s="134"/>
      <c r="J54" s="138">
        <f ca="1">IFERROR(__xludf.DUMMYFUNCTION("""COMPUTED_VALUE"""),612175)</f>
        <v>612175</v>
      </c>
      <c r="K54" s="138" t="str">
        <f ca="1">IFERROR(__xludf.DUMMYFUNCTION("""COMPUTED_VALUE"""),"Intermediate")</f>
        <v>Intermediate</v>
      </c>
      <c r="L54" s="139" t="str">
        <f ca="1">IFERROR(__xludf.DUMMYFUNCTION("""COMPUTED_VALUE"""),"Creating a Leadership Development Program")</f>
        <v>Creating a Leadership Development Program</v>
      </c>
      <c r="M54" s="152"/>
      <c r="N54" s="134"/>
      <c r="O54" s="134"/>
      <c r="P54" s="134"/>
      <c r="Q54" s="138">
        <f ca="1">IFERROR(__xludf.DUMMYFUNCTION("""COMPUTED_VALUE"""),612191)</f>
        <v>612191</v>
      </c>
      <c r="R54" s="138" t="str">
        <f ca="1">IFERROR(__xludf.DUMMYFUNCTION("""COMPUTED_VALUE"""),"Intermediate")</f>
        <v>Intermediate</v>
      </c>
      <c r="S54" s="139" t="str">
        <f ca="1">IFERROR(__xludf.DUMMYFUNCTION("""COMPUTED_VALUE"""),"Windows 10: Deploy and Manage Virtual Applications")</f>
        <v>Windows 10: Deploy and Manage Virtual Applications</v>
      </c>
      <c r="T54" s="152"/>
      <c r="U54" s="134"/>
      <c r="V54" s="134"/>
    </row>
    <row r="55" spans="1:22" ht="33.75" customHeight="1" x14ac:dyDescent="0.15">
      <c r="A55" s="134"/>
      <c r="B55" s="134"/>
      <c r="C55" s="138">
        <f ca="1">IFERROR(__xludf.DUMMYFUNCTION("""COMPUTED_VALUE"""),2825616)</f>
        <v>2825616</v>
      </c>
      <c r="D55" s="138" t="str">
        <f ca="1">IFERROR(__xludf.DUMMYFUNCTION("""COMPUTED_VALUE"""),"Intermediate")</f>
        <v>Intermediate</v>
      </c>
      <c r="E55" s="139" t="str">
        <f ca="1">IFERROR(__xludf.DUMMYFUNCTION("""COMPUTED_VALUE"""),"Finance Strategies for Business Leaders")</f>
        <v>Finance Strategies for Business Leaders</v>
      </c>
      <c r="F55" s="152"/>
      <c r="G55" s="134"/>
      <c r="H55" s="134"/>
      <c r="I55" s="134"/>
      <c r="J55" s="138">
        <f ca="1">IFERROR(__xludf.DUMMYFUNCTION("""COMPUTED_VALUE"""),769279)</f>
        <v>769279</v>
      </c>
      <c r="K55" s="138" t="str">
        <f ca="1">IFERROR(__xludf.DUMMYFUNCTION("""COMPUTED_VALUE"""),"Intermediate")</f>
        <v>Intermediate</v>
      </c>
      <c r="L55" s="139" t="str">
        <f ca="1">IFERROR(__xludf.DUMMYFUNCTION("""COMPUTED_VALUE"""),"Driving Workplace Happiness")</f>
        <v>Driving Workplace Happiness</v>
      </c>
      <c r="M55" s="152"/>
      <c r="N55" s="134"/>
      <c r="O55" s="134"/>
      <c r="P55" s="134"/>
      <c r="Q55" s="138">
        <f ca="1">IFERROR(__xludf.DUMMYFUNCTION("""COMPUTED_VALUE"""),645057)</f>
        <v>645057</v>
      </c>
      <c r="R55" s="156" t="str">
        <f ca="1">IFERROR(__xludf.DUMMYFUNCTION("""COMPUTED_VALUE"""),"Intermediate")</f>
        <v>Intermediate</v>
      </c>
      <c r="S55" s="139" t="str">
        <f ca="1">IFERROR(__xludf.DUMMYFUNCTION("""COMPUTED_VALUE"""),"SSCP Cert Prep: 7 Systems and Application Security")</f>
        <v>SSCP Cert Prep: 7 Systems and Application Security</v>
      </c>
      <c r="T55" s="152"/>
      <c r="U55" s="134"/>
      <c r="V55" s="134"/>
    </row>
    <row r="56" spans="1:22" ht="33.75" customHeight="1" x14ac:dyDescent="0.15">
      <c r="A56" s="134"/>
      <c r="B56" s="134"/>
      <c r="C56" s="138">
        <f ca="1">IFERROR(__xludf.DUMMYFUNCTION("""COMPUTED_VALUE"""),2852000)</f>
        <v>2852000</v>
      </c>
      <c r="D56" s="138" t="str">
        <f ca="1">IFERROR(__xludf.DUMMYFUNCTION("""COMPUTED_VALUE"""),"Intermediate")</f>
        <v>Intermediate</v>
      </c>
      <c r="E56" s="139" t="str">
        <f ca="1">IFERROR(__xludf.DUMMYFUNCTION("""COMPUTED_VALUE"""),"SAP Business One: Finance and Banking")</f>
        <v>SAP Business One: Finance and Banking</v>
      </c>
      <c r="F56" s="152"/>
      <c r="G56" s="134"/>
      <c r="H56" s="134"/>
      <c r="I56" s="134"/>
      <c r="J56" s="138">
        <f ca="1">IFERROR(__xludf.DUMMYFUNCTION("""COMPUTED_VALUE"""),700792)</f>
        <v>700792</v>
      </c>
      <c r="K56" s="138" t="str">
        <f ca="1">IFERROR(__xludf.DUMMYFUNCTION("""COMPUTED_VALUE"""),"Intermediate")</f>
        <v>Intermediate</v>
      </c>
      <c r="L56" s="139" t="str">
        <f ca="1">IFERROR(__xludf.DUMMYFUNCTION("""COMPUTED_VALUE"""),"Employee Experience")</f>
        <v>Employee Experience</v>
      </c>
      <c r="M56" s="152"/>
      <c r="N56" s="134"/>
      <c r="O56" s="134"/>
      <c r="P56" s="134"/>
      <c r="Q56" s="138">
        <f ca="1">IFERROR(__xludf.DUMMYFUNCTION("""COMPUTED_VALUE"""),518697)</f>
        <v>518697</v>
      </c>
      <c r="R56" s="138" t="str">
        <f ca="1">IFERROR(__xludf.DUMMYFUNCTION("""COMPUTED_VALUE"""),"Intermediate")</f>
        <v>Intermediate</v>
      </c>
      <c r="S56" s="139" t="str">
        <f ca="1">IFERROR(__xludf.DUMMYFUNCTION("""COMPUTED_VALUE"""),"Windows Presentation Foundation: 1 Build Dramatic Desktop Applications")</f>
        <v>Windows Presentation Foundation: 1 Build Dramatic Desktop Applications</v>
      </c>
      <c r="T56" s="152"/>
      <c r="U56" s="134"/>
      <c r="V56" s="134"/>
    </row>
    <row r="57" spans="1:22" ht="33.75" customHeight="1" x14ac:dyDescent="0.15">
      <c r="A57" s="134"/>
      <c r="B57" s="134"/>
      <c r="C57" s="138">
        <f ca="1">IFERROR(__xludf.DUMMYFUNCTION("""COMPUTED_VALUE"""),2974327)</f>
        <v>2974327</v>
      </c>
      <c r="D57" s="138" t="str">
        <f ca="1">IFERROR(__xludf.DUMMYFUNCTION("""COMPUTED_VALUE"""),"Intermediate")</f>
        <v>Intermediate</v>
      </c>
      <c r="E57" s="139" t="str">
        <f ca="1">IFERROR(__xludf.DUMMYFUNCTION("""COMPUTED_VALUE"""),"Corporate Finance: Profitability in a Financial Downturn")</f>
        <v>Corporate Finance: Profitability in a Financial Downturn</v>
      </c>
      <c r="F57" s="152"/>
      <c r="G57" s="134"/>
      <c r="H57" s="134"/>
      <c r="I57" s="134"/>
      <c r="J57" s="138">
        <f ca="1">IFERROR(__xludf.DUMMYFUNCTION("""COMPUTED_VALUE"""),433942)</f>
        <v>433942</v>
      </c>
      <c r="K57" s="138" t="str">
        <f ca="1">IFERROR(__xludf.DUMMYFUNCTION("""COMPUTED_VALUE"""),"Intermediate")</f>
        <v>Intermediate</v>
      </c>
      <c r="L57" s="139" t="str">
        <f ca="1">IFERROR(__xludf.DUMMYFUNCTION("""COMPUTED_VALUE"""),"Finding and Retaining High Potentials")</f>
        <v>Finding and Retaining High Potentials</v>
      </c>
      <c r="M57" s="152"/>
      <c r="N57" s="134"/>
      <c r="O57" s="134"/>
      <c r="P57" s="134"/>
      <c r="Q57" s="138">
        <f ca="1">IFERROR(__xludf.DUMMYFUNCTION("""COMPUTED_VALUE"""),751334)</f>
        <v>751334</v>
      </c>
      <c r="R57" s="138" t="str">
        <f ca="1">IFERROR(__xludf.DUMMYFUNCTION("""COMPUTED_VALUE"""),"Intermediate")</f>
        <v>Intermediate</v>
      </c>
      <c r="S57" s="139" t="str">
        <f ca="1">IFERROR(__xludf.DUMMYFUNCTION("""COMPUTED_VALUE"""),"API Testing Foundations")</f>
        <v>API Testing Foundations</v>
      </c>
      <c r="T57" s="152"/>
      <c r="U57" s="134"/>
      <c r="V57" s="134"/>
    </row>
    <row r="58" spans="1:22" ht="33.75" customHeight="1" x14ac:dyDescent="0.15">
      <c r="A58" s="134"/>
      <c r="B58" s="134"/>
      <c r="C58" s="138">
        <f ca="1">IFERROR(__xludf.DUMMYFUNCTION("""COMPUTED_VALUE"""),368916)</f>
        <v>368916</v>
      </c>
      <c r="D58" s="138" t="str">
        <f ca="1">IFERROR(__xludf.DUMMYFUNCTION("""COMPUTED_VALUE"""),"Intermediate")</f>
        <v>Intermediate</v>
      </c>
      <c r="E58" s="139" t="str">
        <f ca="1">IFERROR(__xludf.DUMMYFUNCTION("""COMPUTED_VALUE"""),"Accounting Foundations: Managerial Accounting")</f>
        <v>Accounting Foundations: Managerial Accounting</v>
      </c>
      <c r="F58" s="152"/>
      <c r="G58" s="134"/>
      <c r="H58" s="134"/>
      <c r="I58" s="134"/>
      <c r="J58" s="138">
        <f ca="1">IFERROR(__xludf.DUMMYFUNCTION("""COMPUTED_VALUE"""),466170)</f>
        <v>466170</v>
      </c>
      <c r="K58" s="138" t="str">
        <f ca="1">IFERROR(__xludf.DUMMYFUNCTION("""COMPUTED_VALUE"""),"Intermediate")</f>
        <v>Intermediate</v>
      </c>
      <c r="L58" s="139" t="str">
        <f ca="1">IFERROR(__xludf.DUMMYFUNCTION("""COMPUTED_VALUE"""),"Hire, Retain, and Grow Top Millennial Talent")</f>
        <v>Hire, Retain, and Grow Top Millennial Talent</v>
      </c>
      <c r="M58" s="152"/>
      <c r="N58" s="134"/>
      <c r="O58" s="134"/>
      <c r="P58" s="134"/>
      <c r="Q58" s="138">
        <f ca="1">IFERROR(__xludf.DUMMYFUNCTION("""COMPUTED_VALUE"""),606079)</f>
        <v>606079</v>
      </c>
      <c r="R58" s="138" t="str">
        <f ca="1">IFERROR(__xludf.DUMMYFUNCTION("""COMPUTED_VALUE"""),"Intermediate")</f>
        <v>Intermediate</v>
      </c>
      <c r="S58" s="139" t="str">
        <f ca="1">IFERROR(__xludf.DUMMYFUNCTION("""COMPUTED_VALUE"""),"DevOps Foundations: Continuous Delivery/Continuous Integration")</f>
        <v>DevOps Foundations: Continuous Delivery/Continuous Integration</v>
      </c>
      <c r="T58" s="152"/>
      <c r="U58" s="134"/>
      <c r="V58" s="134"/>
    </row>
    <row r="59" spans="1:22" ht="33.75" customHeight="1" x14ac:dyDescent="0.15">
      <c r="A59" s="134"/>
      <c r="B59" s="134"/>
      <c r="C59" s="138">
        <f ca="1">IFERROR(__xludf.DUMMYFUNCTION("""COMPUTED_VALUE"""),368915)</f>
        <v>368915</v>
      </c>
      <c r="D59" s="138" t="str">
        <f ca="1">IFERROR(__xludf.DUMMYFUNCTION("""COMPUTED_VALUE"""),"Intermediate")</f>
        <v>Intermediate</v>
      </c>
      <c r="E59" s="139" t="str">
        <f ca="1">IFERROR(__xludf.DUMMYFUNCTION("""COMPUTED_VALUE"""),"Finance for Non-Financial Managers")</f>
        <v>Finance for Non-Financial Managers</v>
      </c>
      <c r="F59" s="152"/>
      <c r="G59" s="134"/>
      <c r="H59" s="134"/>
      <c r="I59" s="134"/>
      <c r="J59" s="138">
        <f ca="1">IFERROR(__xludf.DUMMYFUNCTION("""COMPUTED_VALUE"""),567787)</f>
        <v>567787</v>
      </c>
      <c r="K59" s="138" t="str">
        <f ca="1">IFERROR(__xludf.DUMMYFUNCTION("""COMPUTED_VALUE"""),"Intermediate")</f>
        <v>Intermediate</v>
      </c>
      <c r="L59" s="139" t="str">
        <f ca="1">IFERROR(__xludf.DUMMYFUNCTION("""COMPUTED_VALUE"""),"Hiring a Recruiting Firm")</f>
        <v>Hiring a Recruiting Firm</v>
      </c>
      <c r="M59" s="152"/>
      <c r="N59" s="134"/>
      <c r="O59" s="134"/>
      <c r="P59" s="134"/>
      <c r="Q59" s="138">
        <f ca="1">IFERROR(__xludf.DUMMYFUNCTION("""COMPUTED_VALUE"""),5016717)</f>
        <v>5016717</v>
      </c>
      <c r="R59" s="138" t="str">
        <f ca="1">IFERROR(__xludf.DUMMYFUNCTION("""COMPUTED_VALUE"""),"Intermediate")</f>
        <v>Intermediate</v>
      </c>
      <c r="S59" s="139" t="str">
        <f ca="1">IFERROR(__xludf.DUMMYFUNCTION("""COMPUTED_VALUE"""),"Software Testing: Exploratory Testing")</f>
        <v>Software Testing: Exploratory Testing</v>
      </c>
      <c r="T59" s="152"/>
      <c r="U59" s="134"/>
      <c r="V59" s="134"/>
    </row>
    <row r="60" spans="1:22" ht="33.75" customHeight="1" x14ac:dyDescent="0.15">
      <c r="A60" s="134"/>
      <c r="B60" s="134"/>
      <c r="C60" s="138">
        <f ca="1">IFERROR(__xludf.DUMMYFUNCTION("""COMPUTED_VALUE"""),173210)</f>
        <v>173210</v>
      </c>
      <c r="D60" s="138" t="str">
        <f ca="1">IFERROR(__xludf.DUMMYFUNCTION("""COMPUTED_VALUE"""),"Intermediate")</f>
        <v>Intermediate</v>
      </c>
      <c r="E60" s="139" t="str">
        <f ca="1">IFERROR(__xludf.DUMMYFUNCTION("""COMPUTED_VALUE"""),"Financial Analysis: Analyzing the Bottom Line with Excel")</f>
        <v>Financial Analysis: Analyzing the Bottom Line with Excel</v>
      </c>
      <c r="F60" s="152"/>
      <c r="G60" s="134"/>
      <c r="H60" s="134"/>
      <c r="I60" s="134"/>
      <c r="J60" s="138">
        <f ca="1">IFERROR(__xludf.DUMMYFUNCTION("""COMPUTED_VALUE"""),628689)</f>
        <v>628689</v>
      </c>
      <c r="K60" s="138" t="str">
        <f ca="1">IFERROR(__xludf.DUMMYFUNCTION("""COMPUTED_VALUE"""),"Intermediate")</f>
        <v>Intermediate</v>
      </c>
      <c r="L60" s="139" t="str">
        <f ca="1">IFERROR(__xludf.DUMMYFUNCTION("""COMPUTED_VALUE"""),"Hiring Contract Employees")</f>
        <v>Hiring Contract Employees</v>
      </c>
      <c r="M60" s="152"/>
      <c r="N60" s="134"/>
      <c r="O60" s="134"/>
      <c r="P60" s="134"/>
      <c r="Q60" s="138">
        <f ca="1">IFERROR(__xludf.DUMMYFUNCTION("""COMPUTED_VALUE"""),651196)</f>
        <v>651196</v>
      </c>
      <c r="R60" s="138" t="str">
        <f ca="1">IFERROR(__xludf.DUMMYFUNCTION("""COMPUTED_VALUE"""),"Intermediate")</f>
        <v>Intermediate</v>
      </c>
      <c r="S60" s="139" t="str">
        <f ca="1">IFERROR(__xludf.DUMMYFUNCTION("""COMPUTED_VALUE"""),"Python Automation and Testing")</f>
        <v>Python Automation and Testing</v>
      </c>
      <c r="T60" s="152"/>
      <c r="U60" s="134"/>
      <c r="V60" s="134"/>
    </row>
    <row r="61" spans="1:22" ht="33.75" customHeight="1" x14ac:dyDescent="0.15">
      <c r="A61" s="134"/>
      <c r="B61" s="134"/>
      <c r="C61" s="138">
        <f ca="1">IFERROR(__xludf.DUMMYFUNCTION("""COMPUTED_VALUE"""),173209)</f>
        <v>173209</v>
      </c>
      <c r="D61" s="138" t="str">
        <f ca="1">IFERROR(__xludf.DUMMYFUNCTION("""COMPUTED_VALUE"""),"Intermediate")</f>
        <v>Intermediate</v>
      </c>
      <c r="E61" s="139" t="str">
        <f ca="1">IFERROR(__xludf.DUMMYFUNCTION("""COMPUTED_VALUE"""),"Financial Analysis: Analyzing the Top Line with Excel")</f>
        <v>Financial Analysis: Analyzing the Top Line with Excel</v>
      </c>
      <c r="F61" s="152"/>
      <c r="G61" s="134"/>
      <c r="H61" s="134"/>
      <c r="I61" s="134"/>
      <c r="J61" s="138">
        <f ca="1">IFERROR(__xludf.DUMMYFUNCTION("""COMPUTED_VALUE"""),628692)</f>
        <v>628692</v>
      </c>
      <c r="K61" s="138" t="str">
        <f ca="1">IFERROR(__xludf.DUMMYFUNCTION("""COMPUTED_VALUE"""),"Intermediate")</f>
        <v>Intermediate</v>
      </c>
      <c r="L61" s="139" t="str">
        <f ca="1">IFERROR(__xludf.DUMMYFUNCTION("""COMPUTED_VALUE"""),"Hiring, Managing, and Separating from Employees")</f>
        <v>Hiring, Managing, and Separating from Employees</v>
      </c>
      <c r="M61" s="152"/>
      <c r="N61" s="134"/>
      <c r="O61" s="134"/>
      <c r="P61" s="134"/>
      <c r="Q61" s="138">
        <f ca="1">IFERROR(__xludf.DUMMYFUNCTION("""COMPUTED_VALUE"""),713394)</f>
        <v>713394</v>
      </c>
      <c r="R61" s="138" t="str">
        <f ca="1">IFERROR(__xludf.DUMMYFUNCTION("""COMPUTED_VALUE"""),"Intermediate")</f>
        <v>Intermediate</v>
      </c>
      <c r="S61" s="139" t="str">
        <f ca="1">IFERROR(__xludf.DUMMYFUNCTION("""COMPUTED_VALUE"""),"Jenkins Essential Training")</f>
        <v>Jenkins Essential Training</v>
      </c>
      <c r="T61" s="152"/>
      <c r="U61" s="134"/>
      <c r="V61" s="134"/>
    </row>
    <row r="62" spans="1:22" ht="33.75" customHeight="1" x14ac:dyDescent="0.15">
      <c r="A62" s="134"/>
      <c r="B62" s="134"/>
      <c r="C62" s="138">
        <f ca="1">IFERROR(__xludf.DUMMYFUNCTION("""COMPUTED_VALUE"""),162272)</f>
        <v>162272</v>
      </c>
      <c r="D62" s="138" t="str">
        <f ca="1">IFERROR(__xludf.DUMMYFUNCTION("""COMPUTED_VALUE"""),"Intermediate")</f>
        <v>Intermediate</v>
      </c>
      <c r="E62" s="139" t="str">
        <f ca="1">IFERROR(__xludf.DUMMYFUNCTION("""COMPUTED_VALUE"""),"Financial Analysis: Introduction to Business Performance Analysis")</f>
        <v>Financial Analysis: Introduction to Business Performance Analysis</v>
      </c>
      <c r="F62" s="152"/>
      <c r="G62" s="134"/>
      <c r="H62" s="134"/>
      <c r="I62" s="134"/>
      <c r="J62" s="138">
        <f ca="1">IFERROR(__xludf.DUMMYFUNCTION("""COMPUTED_VALUE"""),612174)</f>
        <v>612174</v>
      </c>
      <c r="K62" s="138" t="str">
        <f ca="1">IFERROR(__xludf.DUMMYFUNCTION("""COMPUTED_VALUE"""),"Intermediate")</f>
        <v>Intermediate</v>
      </c>
      <c r="L62" s="139" t="str">
        <f ca="1">IFERROR(__xludf.DUMMYFUNCTION("""COMPUTED_VALUE"""),"HR as a Business Partner")</f>
        <v>HR as a Business Partner</v>
      </c>
      <c r="M62" s="152"/>
      <c r="N62" s="134"/>
      <c r="O62" s="134"/>
      <c r="P62" s="134"/>
      <c r="Q62" s="138">
        <f ca="1">IFERROR(__xludf.DUMMYFUNCTION("""COMPUTED_VALUE"""),802866)</f>
        <v>802866</v>
      </c>
      <c r="R62" s="138" t="str">
        <f ca="1">IFERROR(__xludf.DUMMYFUNCTION("""COMPUTED_VALUE"""),"Intermediate")</f>
        <v>Intermediate</v>
      </c>
      <c r="S62" s="139" t="str">
        <f ca="1">IFERROR(__xludf.DUMMYFUNCTION("""COMPUTED_VALUE"""),"AWS: Automation and Optimization")</f>
        <v>AWS: Automation and Optimization</v>
      </c>
      <c r="T62" s="152"/>
      <c r="U62" s="134"/>
      <c r="V62" s="134"/>
    </row>
    <row r="63" spans="1:22" ht="33.75" customHeight="1" x14ac:dyDescent="0.15">
      <c r="A63" s="134"/>
      <c r="B63" s="134"/>
      <c r="C63" s="138">
        <f ca="1">IFERROR(__xludf.DUMMYFUNCTION("""COMPUTED_VALUE"""),162274)</f>
        <v>162274</v>
      </c>
      <c r="D63" s="138" t="str">
        <f ca="1">IFERROR(__xludf.DUMMYFUNCTION("""COMPUTED_VALUE"""),"Intermediate")</f>
        <v>Intermediate</v>
      </c>
      <c r="E63" s="139" t="str">
        <f ca="1">IFERROR(__xludf.DUMMYFUNCTION("""COMPUTED_VALUE"""),"Financial Analysis: Making Business Projections")</f>
        <v>Financial Analysis: Making Business Projections</v>
      </c>
      <c r="F63" s="152"/>
      <c r="G63" s="134"/>
      <c r="H63" s="134"/>
      <c r="I63" s="134"/>
      <c r="J63" s="138">
        <f ca="1">IFERROR(__xludf.DUMMYFUNCTION("""COMPUTED_VALUE"""),587597)</f>
        <v>587597</v>
      </c>
      <c r="K63" s="138" t="str">
        <f ca="1">IFERROR(__xludf.DUMMYFUNCTION("""COMPUTED_VALUE"""),"Intermediate")</f>
        <v>Intermediate</v>
      </c>
      <c r="L63" s="139" t="str">
        <f ca="1">IFERROR(__xludf.DUMMYFUNCTION("""COMPUTED_VALUE"""),"Human Resources: Compensation and Benefits")</f>
        <v>Human Resources: Compensation and Benefits</v>
      </c>
      <c r="M63" s="152"/>
      <c r="N63" s="134"/>
      <c r="O63" s="134"/>
      <c r="P63" s="134"/>
      <c r="Q63" s="138">
        <f ca="1">IFERROR(__xludf.DUMMYFUNCTION("""COMPUTED_VALUE"""),791360)</f>
        <v>791360</v>
      </c>
      <c r="R63" s="138" t="str">
        <f ca="1">IFERROR(__xludf.DUMMYFUNCTION("""COMPUTED_VALUE"""),"Intermediate")</f>
        <v>Intermediate</v>
      </c>
      <c r="S63" s="139" t="str">
        <f ca="1">IFERROR(__xludf.DUMMYFUNCTION("""COMPUTED_VALUE"""),"API Test Automation with SoapUI")</f>
        <v>API Test Automation with SoapUI</v>
      </c>
      <c r="T63" s="152"/>
      <c r="U63" s="134"/>
      <c r="V63" s="134"/>
    </row>
    <row r="64" spans="1:22" ht="33.75" customHeight="1" x14ac:dyDescent="0.15">
      <c r="A64" s="134"/>
      <c r="B64" s="134"/>
      <c r="C64" s="138">
        <f ca="1">IFERROR(__xludf.DUMMYFUNCTION("""COMPUTED_VALUE"""),569337)</f>
        <v>569337</v>
      </c>
      <c r="D64" s="138" t="str">
        <f ca="1">IFERROR(__xludf.DUMMYFUNCTION("""COMPUTED_VALUE"""),"Intermediate")</f>
        <v>Intermediate</v>
      </c>
      <c r="E64" s="139" t="str">
        <f ca="1">IFERROR(__xludf.DUMMYFUNCTION("""COMPUTED_VALUE"""),"Financial Forecasting with Big Data")</f>
        <v>Financial Forecasting with Big Data</v>
      </c>
      <c r="F64" s="152"/>
      <c r="G64" s="134"/>
      <c r="H64" s="134"/>
      <c r="I64" s="134"/>
      <c r="J64" s="138">
        <f ca="1">IFERROR(__xludf.DUMMYFUNCTION("""COMPUTED_VALUE"""),592493)</f>
        <v>592493</v>
      </c>
      <c r="K64" s="138" t="str">
        <f ca="1">IFERROR(__xludf.DUMMYFUNCTION("""COMPUTED_VALUE"""),"Intermediate")</f>
        <v>Intermediate</v>
      </c>
      <c r="L64" s="139" t="str">
        <f ca="1">IFERROR(__xludf.DUMMYFUNCTION("""COMPUTED_VALUE"""),"Human Resources: Job Structure and Design")</f>
        <v>Human Resources: Job Structure and Design</v>
      </c>
      <c r="M64" s="152"/>
      <c r="N64" s="134"/>
      <c r="O64" s="134"/>
      <c r="P64" s="134"/>
      <c r="Q64" s="138">
        <f ca="1">IFERROR(__xludf.DUMMYFUNCTION("""COMPUTED_VALUE"""),667384)</f>
        <v>667384</v>
      </c>
      <c r="R64" s="138" t="str">
        <f ca="1">IFERROR(__xludf.DUMMYFUNCTION("""COMPUTED_VALUE"""),"Intermediate")</f>
        <v>Intermediate</v>
      </c>
      <c r="S64" s="139" t="str">
        <f ca="1">IFERROR(__xludf.DUMMYFUNCTION("""COMPUTED_VALUE"""),"Cisco Network Security: Secure Routing and Switching")</f>
        <v>Cisco Network Security: Secure Routing and Switching</v>
      </c>
      <c r="T64" s="152"/>
      <c r="U64" s="134"/>
      <c r="V64" s="134"/>
    </row>
    <row r="65" spans="1:22" ht="33.75" customHeight="1" x14ac:dyDescent="0.15">
      <c r="A65" s="134"/>
      <c r="B65" s="134"/>
      <c r="C65" s="138">
        <f ca="1">IFERROR(__xludf.DUMMYFUNCTION("""COMPUTED_VALUE"""),608997)</f>
        <v>608997</v>
      </c>
      <c r="D65" s="138" t="str">
        <f ca="1">IFERROR(__xludf.DUMMYFUNCTION("""COMPUTED_VALUE"""),"Intermediate")</f>
        <v>Intermediate</v>
      </c>
      <c r="E65" s="139" t="str">
        <f ca="1">IFERROR(__xludf.DUMMYFUNCTION("""COMPUTED_VALUE"""),"Forecasting Using Financial Statements")</f>
        <v>Forecasting Using Financial Statements</v>
      </c>
      <c r="F65" s="152"/>
      <c r="G65" s="134"/>
      <c r="H65" s="134"/>
      <c r="I65" s="134"/>
      <c r="J65" s="138">
        <f ca="1">IFERROR(__xludf.DUMMYFUNCTION("""COMPUTED_VALUE"""),601769)</f>
        <v>601769</v>
      </c>
      <c r="K65" s="138" t="str">
        <f ca="1">IFERROR(__xludf.DUMMYFUNCTION("""COMPUTED_VALUE"""),"Intermediate")</f>
        <v>Intermediate</v>
      </c>
      <c r="L65" s="139" t="str">
        <f ca="1">IFERROR(__xludf.DUMMYFUNCTION("""COMPUTED_VALUE"""),"Human Resources: Managing Employee Problems")</f>
        <v>Human Resources: Managing Employee Problems</v>
      </c>
      <c r="M65" s="152"/>
      <c r="N65" s="134"/>
      <c r="O65" s="134"/>
      <c r="P65" s="134"/>
      <c r="Q65" s="138">
        <f ca="1">IFERROR(__xludf.DUMMYFUNCTION("""COMPUTED_VALUE"""),585259)</f>
        <v>585259</v>
      </c>
      <c r="R65" s="138" t="str">
        <f ca="1">IFERROR(__xludf.DUMMYFUNCTION("""COMPUTED_VALUE"""),"Intermediate")</f>
        <v>Intermediate</v>
      </c>
      <c r="S65" s="139" t="str">
        <f ca="1">IFERROR(__xludf.DUMMYFUNCTION("""COMPUTED_VALUE"""),"Exchange 2016: Client Access Services")</f>
        <v>Exchange 2016: Client Access Services</v>
      </c>
      <c r="T65" s="152"/>
      <c r="U65" s="134"/>
      <c r="V65" s="134"/>
    </row>
    <row r="66" spans="1:22" ht="33.75" customHeight="1" x14ac:dyDescent="0.15">
      <c r="A66" s="134"/>
      <c r="B66" s="134"/>
      <c r="C66" s="138">
        <f ca="1">IFERROR(__xludf.DUMMYFUNCTION("""COMPUTED_VALUE"""),696865)</f>
        <v>696865</v>
      </c>
      <c r="D66" s="138" t="str">
        <f ca="1">IFERROR(__xludf.DUMMYFUNCTION("""COMPUTED_VALUE"""),"Intermediate")</f>
        <v>Intermediate</v>
      </c>
      <c r="E66" s="139" t="str">
        <f ca="1">IFERROR(__xludf.DUMMYFUNCTION("""COMPUTED_VALUE"""),"Protecting Profitability by Reducing Financial Risk")</f>
        <v>Protecting Profitability by Reducing Financial Risk</v>
      </c>
      <c r="F66" s="152"/>
      <c r="G66" s="134"/>
      <c r="H66" s="134"/>
      <c r="I66" s="134"/>
      <c r="J66" s="138">
        <f ca="1">IFERROR(__xludf.DUMMYFUNCTION("""COMPUTED_VALUE"""),669537)</f>
        <v>669537</v>
      </c>
      <c r="K66" s="138" t="str">
        <f ca="1">IFERROR(__xludf.DUMMYFUNCTION("""COMPUTED_VALUE"""),"Intermediate")</f>
        <v>Intermediate</v>
      </c>
      <c r="L66" s="139" t="str">
        <f ca="1">IFERROR(__xludf.DUMMYFUNCTION("""COMPUTED_VALUE"""),"Human Resources: Payroll")</f>
        <v>Human Resources: Payroll</v>
      </c>
      <c r="M66" s="152"/>
      <c r="N66" s="134"/>
      <c r="O66" s="134"/>
      <c r="P66" s="134"/>
      <c r="Q66" s="138">
        <f ca="1">IFERROR(__xludf.DUMMYFUNCTION("""COMPUTED_VALUE"""),2802039)</f>
        <v>2802039</v>
      </c>
      <c r="R66" s="138" t="str">
        <f ca="1">IFERROR(__xludf.DUMMYFUNCTION("""COMPUTED_VALUE"""),"Intermediate")</f>
        <v>Intermediate</v>
      </c>
      <c r="S66" s="139" t="str">
        <f ca="1">IFERROR(__xludf.DUMMYFUNCTION("""COMPUTED_VALUE"""),"Learning G Suite Administration")</f>
        <v>Learning G Suite Administration</v>
      </c>
      <c r="T66" s="152"/>
      <c r="U66" s="134"/>
      <c r="V66" s="134"/>
    </row>
    <row r="67" spans="1:22" ht="33.75" customHeight="1" x14ac:dyDescent="0.15">
      <c r="A67" s="134"/>
      <c r="B67" s="134"/>
      <c r="C67" s="138">
        <f ca="1">IFERROR(__xludf.DUMMYFUNCTION("""COMPUTED_VALUE"""),188212)</f>
        <v>188212</v>
      </c>
      <c r="D67" s="138" t="str">
        <f ca="1">IFERROR(__xludf.DUMMYFUNCTION("""COMPUTED_VALUE"""),"Intermediate")</f>
        <v>Intermediate</v>
      </c>
      <c r="E67" s="139" t="str">
        <f ca="1">IFERROR(__xludf.DUMMYFUNCTION("""COMPUTED_VALUE"""),"Using the Time Value of Money to Make Financial Decisions")</f>
        <v>Using the Time Value of Money to Make Financial Decisions</v>
      </c>
      <c r="F67" s="152"/>
      <c r="G67" s="134"/>
      <c r="H67" s="134"/>
      <c r="I67" s="134"/>
      <c r="J67" s="138">
        <f ca="1">IFERROR(__xludf.DUMMYFUNCTION("""COMPUTED_VALUE"""),383528)</f>
        <v>383528</v>
      </c>
      <c r="K67" s="138" t="str">
        <f ca="1">IFERROR(__xludf.DUMMYFUNCTION("""COMPUTED_VALUE"""),"Intermediate")</f>
        <v>Intermediate</v>
      </c>
      <c r="L67" s="139" t="str">
        <f ca="1">IFERROR(__xludf.DUMMYFUNCTION("""COMPUTED_VALUE"""),"Human Resources: Running Company Onboarding")</f>
        <v>Human Resources: Running Company Onboarding</v>
      </c>
      <c r="M67" s="152"/>
      <c r="N67" s="134"/>
      <c r="O67" s="134"/>
      <c r="P67" s="134"/>
      <c r="Q67" s="138">
        <f ca="1">IFERROR(__xludf.DUMMYFUNCTION("""COMPUTED_VALUE"""),5028638)</f>
        <v>5028638</v>
      </c>
      <c r="R67" s="138" t="str">
        <f ca="1">IFERROR(__xludf.DUMMYFUNCTION("""COMPUTED_VALUE"""),"Intermediate")</f>
        <v>Intermediate</v>
      </c>
      <c r="S67" s="139" t="str">
        <f ca="1">IFERROR(__xludf.DUMMYFUNCTION("""COMPUTED_VALUE"""),"Azure Administration: Configure and Manage Virtual Networks")</f>
        <v>Azure Administration: Configure and Manage Virtual Networks</v>
      </c>
      <c r="T67" s="152"/>
      <c r="U67" s="134"/>
      <c r="V67" s="134"/>
    </row>
    <row r="68" spans="1:22" ht="33.75" customHeight="1" x14ac:dyDescent="0.15">
      <c r="A68" s="134"/>
      <c r="B68" s="134"/>
      <c r="C68" s="138">
        <f ca="1">IFERROR(__xludf.DUMMYFUNCTION("""COMPUTED_VALUE"""),2804051)</f>
        <v>2804051</v>
      </c>
      <c r="D68" s="138" t="str">
        <f ca="1">IFERROR(__xludf.DUMMYFUNCTION("""COMPUTED_VALUE"""),"Intermediate")</f>
        <v>Intermediate</v>
      </c>
      <c r="E68" s="139" t="str">
        <f ca="1">IFERROR(__xludf.DUMMYFUNCTION("""COMPUTED_VALUE"""),"SAP Accounts Payable Boot Camp")</f>
        <v>SAP Accounts Payable Boot Camp</v>
      </c>
      <c r="F68" s="152"/>
      <c r="G68" s="134"/>
      <c r="H68" s="134"/>
      <c r="I68" s="134"/>
      <c r="J68" s="138">
        <f ca="1">IFERROR(__xludf.DUMMYFUNCTION("""COMPUTED_VALUE"""),616662)</f>
        <v>616662</v>
      </c>
      <c r="K68" s="138" t="str">
        <f ca="1">IFERROR(__xludf.DUMMYFUNCTION("""COMPUTED_VALUE"""),"Intermediate")</f>
        <v>Intermediate</v>
      </c>
      <c r="L68" s="139" t="str">
        <f ca="1">IFERROR(__xludf.DUMMYFUNCTION("""COMPUTED_VALUE"""),"Human Resources: Using Metrics to Drive HR Strategy")</f>
        <v>Human Resources: Using Metrics to Drive HR Strategy</v>
      </c>
      <c r="M68" s="152"/>
      <c r="N68" s="134"/>
      <c r="O68" s="134"/>
      <c r="P68" s="134"/>
      <c r="Q68" s="138">
        <f ca="1">IFERROR(__xludf.DUMMYFUNCTION("""COMPUTED_VALUE"""),731741)</f>
        <v>731741</v>
      </c>
      <c r="R68" s="138" t="str">
        <f ca="1">IFERROR(__xludf.DUMMYFUNCTION("""COMPUTED_VALUE"""),"Intermediate")</f>
        <v>Intermediate</v>
      </c>
      <c r="S68" s="139" t="str">
        <f ca="1">IFERROR(__xludf.DUMMYFUNCTION("""COMPUTED_VALUE"""),"Configuration Manager: Configure and Maintain a Management Infrastructure")</f>
        <v>Configuration Manager: Configure and Maintain a Management Infrastructure</v>
      </c>
      <c r="T68" s="152"/>
      <c r="U68" s="134"/>
      <c r="V68" s="134"/>
    </row>
    <row r="69" spans="1:22" ht="33.75" customHeight="1" x14ac:dyDescent="0.15">
      <c r="A69" s="134"/>
      <c r="B69" s="134"/>
      <c r="C69" s="138">
        <f ca="1">IFERROR(__xludf.DUMMYFUNCTION("""COMPUTED_VALUE"""),569336)</f>
        <v>569336</v>
      </c>
      <c r="D69" s="138" t="str">
        <f ca="1">IFERROR(__xludf.DUMMYFUNCTION("""COMPUTED_VALUE"""),"Intermediate")</f>
        <v>Intermediate</v>
      </c>
      <c r="E69" s="139" t="str">
        <f ca="1">IFERROR(__xludf.DUMMYFUNCTION("""COMPUTED_VALUE"""),"Excel: Economic Analysis and Data Analytics")</f>
        <v>Excel: Economic Analysis and Data Analytics</v>
      </c>
      <c r="F69" s="152"/>
      <c r="G69" s="134"/>
      <c r="H69" s="134"/>
      <c r="I69" s="134"/>
      <c r="J69" s="138">
        <f ca="1">IFERROR(__xludf.DUMMYFUNCTION("""COMPUTED_VALUE"""),520220)</f>
        <v>520220</v>
      </c>
      <c r="K69" s="138" t="str">
        <f ca="1">IFERROR(__xludf.DUMMYFUNCTION("""COMPUTED_VALUE"""),"Intermediate")</f>
        <v>Intermediate</v>
      </c>
      <c r="L69" s="139" t="str">
        <f ca="1">IFERROR(__xludf.DUMMYFUNCTION("""COMPUTED_VALUE"""),"Organizational Learning and Development")</f>
        <v>Organizational Learning and Development</v>
      </c>
      <c r="M69" s="152"/>
      <c r="N69" s="134"/>
      <c r="O69" s="134"/>
      <c r="P69" s="134"/>
      <c r="Q69" s="138">
        <f ca="1">IFERROR(__xludf.DUMMYFUNCTION("""COMPUTED_VALUE"""),753910)</f>
        <v>753910</v>
      </c>
      <c r="R69" s="138" t="str">
        <f ca="1">IFERROR(__xludf.DUMMYFUNCTION("""COMPUTED_VALUE"""),"Intermediate")</f>
        <v>Intermediate</v>
      </c>
      <c r="S69" s="139" t="str">
        <f ca="1">IFERROR(__xludf.DUMMYFUNCTION("""COMPUTED_VALUE"""),"Network Virtualization: SDN Overlay Solutions")</f>
        <v>Network Virtualization: SDN Overlay Solutions</v>
      </c>
      <c r="T69" s="152"/>
      <c r="U69" s="134"/>
      <c r="V69" s="134"/>
    </row>
    <row r="70" spans="1:22" ht="33.75" customHeight="1" x14ac:dyDescent="0.15">
      <c r="A70" s="134"/>
      <c r="B70" s="134"/>
      <c r="C70" s="138">
        <f ca="1">IFERROR(__xludf.DUMMYFUNCTION("""COMPUTED_VALUE"""),188211)</f>
        <v>188211</v>
      </c>
      <c r="D70" s="138" t="str">
        <f ca="1">IFERROR(__xludf.DUMMYFUNCTION("""COMPUTED_VALUE"""),"Intermediate")</f>
        <v>Intermediate</v>
      </c>
      <c r="E70" s="139" t="str">
        <f ca="1">IFERROR(__xludf.DUMMYFUNCTION("""COMPUTED_VALUE"""),"Finance Essentials for Small Business")</f>
        <v>Finance Essentials for Small Business</v>
      </c>
      <c r="F70" s="152"/>
      <c r="G70" s="134"/>
      <c r="H70" s="134"/>
      <c r="I70" s="134"/>
      <c r="J70" s="138">
        <f ca="1">IFERROR(__xludf.DUMMYFUNCTION("""COMPUTED_VALUE"""),429635)</f>
        <v>429635</v>
      </c>
      <c r="K70" s="138" t="str">
        <f ca="1">IFERROR(__xludf.DUMMYFUNCTION("""COMPUTED_VALUE"""),"Intermediate")</f>
        <v>Intermediate</v>
      </c>
      <c r="L70" s="139" t="str">
        <f ca="1">IFERROR(__xludf.DUMMYFUNCTION("""COMPUTED_VALUE"""),"Performance-Based Hiring")</f>
        <v>Performance-Based Hiring</v>
      </c>
      <c r="M70" s="152"/>
      <c r="N70" s="134"/>
      <c r="O70" s="134"/>
      <c r="P70" s="134"/>
      <c r="Q70" s="138">
        <f ca="1">IFERROR(__xludf.DUMMYFUNCTION("""COMPUTED_VALUE"""),782139)</f>
        <v>782139</v>
      </c>
      <c r="R70" s="138" t="str">
        <f ca="1">IFERROR(__xludf.DUMMYFUNCTION("""COMPUTED_VALUE"""),"Intermediate")</f>
        <v>Intermediate</v>
      </c>
      <c r="S70" s="139" t="str">
        <f ca="1">IFERROR(__xludf.DUMMYFUNCTION("""COMPUTED_VALUE"""),"Azure Administration: Manage Subscriptions and Resources")</f>
        <v>Azure Administration: Manage Subscriptions and Resources</v>
      </c>
      <c r="T70" s="152"/>
      <c r="U70" s="134"/>
      <c r="V70" s="134"/>
    </row>
    <row r="71" spans="1:22" ht="33.75" customHeight="1" x14ac:dyDescent="0.15">
      <c r="A71" s="134"/>
      <c r="B71" s="134"/>
      <c r="C71" s="138">
        <f ca="1">IFERROR(__xludf.DUMMYFUNCTION("""COMPUTED_VALUE"""),599601)</f>
        <v>599601</v>
      </c>
      <c r="D71" s="138" t="str">
        <f ca="1">IFERROR(__xludf.DUMMYFUNCTION("""COMPUTED_VALUE"""),"Intermediate")</f>
        <v>Intermediate</v>
      </c>
      <c r="E71" s="139" t="str">
        <f ca="1">IFERROR(__xludf.DUMMYFUNCTION("""COMPUTED_VALUE"""),"Contracting for Consultants")</f>
        <v>Contracting for Consultants</v>
      </c>
      <c r="F71" s="152"/>
      <c r="G71" s="134"/>
      <c r="H71" s="134"/>
      <c r="I71" s="134"/>
      <c r="J71" s="138">
        <f ca="1">IFERROR(__xludf.DUMMYFUNCTION("""COMPUTED_VALUE"""),441831)</f>
        <v>441831</v>
      </c>
      <c r="K71" s="138" t="str">
        <f ca="1">IFERROR(__xludf.DUMMYFUNCTION("""COMPUTED_VALUE"""),"Intermediate")</f>
        <v>Intermediate</v>
      </c>
      <c r="L71" s="139" t="str">
        <f ca="1">IFERROR(__xludf.DUMMYFUNCTION("""COMPUTED_VALUE"""),"Recruiting Veterans")</f>
        <v>Recruiting Veterans</v>
      </c>
      <c r="M71" s="152"/>
      <c r="N71" s="134"/>
      <c r="O71" s="134"/>
      <c r="P71" s="134"/>
      <c r="Q71" s="138">
        <f ca="1">IFERROR(__xludf.DUMMYFUNCTION("""COMPUTED_VALUE"""),563030)</f>
        <v>563030</v>
      </c>
      <c r="R71" s="138" t="str">
        <f ca="1">IFERROR(__xludf.DUMMYFUNCTION("""COMPUTED_VALUE"""),"Intermediate")</f>
        <v>Intermediate</v>
      </c>
      <c r="S71" s="139" t="str">
        <f ca="1">IFERROR(__xludf.DUMMYFUNCTION("""COMPUTED_VALUE"""),"Machine Learning and AI Foundations: Recommendations")</f>
        <v>Machine Learning and AI Foundations: Recommendations</v>
      </c>
      <c r="T71" s="152"/>
      <c r="U71" s="134"/>
      <c r="V71" s="134"/>
    </row>
    <row r="72" spans="1:22" ht="30" x14ac:dyDescent="0.15">
      <c r="A72" s="134"/>
      <c r="B72" s="134"/>
      <c r="C72" s="138">
        <f ca="1">IFERROR(__xludf.DUMMYFUNCTION("""COMPUTED_VALUE"""),697709)</f>
        <v>697709</v>
      </c>
      <c r="D72" s="138" t="str">
        <f ca="1">IFERROR(__xludf.DUMMYFUNCTION("""COMPUTED_VALUE"""),"Intermediate")</f>
        <v>Intermediate</v>
      </c>
      <c r="E72" s="139" t="str">
        <f ca="1">IFERROR(__xludf.DUMMYFUNCTION("""COMPUTED_VALUE"""),"Financial Modeling Foundations")</f>
        <v>Financial Modeling Foundations</v>
      </c>
      <c r="F72" s="152"/>
      <c r="G72" s="134"/>
      <c r="H72" s="134"/>
      <c r="I72" s="134"/>
      <c r="J72" s="138">
        <f ca="1">IFERROR(__xludf.DUMMYFUNCTION("""COMPUTED_VALUE"""),434461)</f>
        <v>434461</v>
      </c>
      <c r="K72" s="138" t="str">
        <f ca="1">IFERROR(__xludf.DUMMYFUNCTION("""COMPUTED_VALUE"""),"Intermediate")</f>
        <v>Intermediate</v>
      </c>
      <c r="L72" s="139" t="str">
        <f ca="1">IFERROR(__xludf.DUMMYFUNCTION("""COMPUTED_VALUE"""),"Strategic Human Resources")</f>
        <v>Strategic Human Resources</v>
      </c>
      <c r="M72" s="152"/>
      <c r="N72" s="134"/>
      <c r="O72" s="134"/>
      <c r="P72" s="134"/>
      <c r="Q72" s="138">
        <f ca="1">IFERROR(__xludf.DUMMYFUNCTION("""COMPUTED_VALUE"""),5019808)</f>
        <v>5019808</v>
      </c>
      <c r="R72" s="138" t="str">
        <f ca="1">IFERROR(__xludf.DUMMYFUNCTION("""COMPUTED_VALUE"""),"Intermediate")</f>
        <v>Intermediate</v>
      </c>
      <c r="S72" s="139" t="str">
        <f ca="1">IFERROR(__xludf.DUMMYFUNCTION("""COMPUTED_VALUE"""),"Azure Administration: Deploy and Manage Virtual Machines")</f>
        <v>Azure Administration: Deploy and Manage Virtual Machines</v>
      </c>
      <c r="T72" s="152"/>
      <c r="U72" s="134"/>
      <c r="V72" s="134"/>
    </row>
    <row r="73" spans="1:22" ht="33.75" customHeight="1" x14ac:dyDescent="0.15">
      <c r="A73" s="134"/>
      <c r="B73" s="134"/>
      <c r="C73" s="138">
        <f ca="1">IFERROR(__xludf.DUMMYFUNCTION("""COMPUTED_VALUE"""),746307)</f>
        <v>746307</v>
      </c>
      <c r="D73" s="138" t="str">
        <f ca="1">IFERROR(__xludf.DUMMYFUNCTION("""COMPUTED_VALUE"""),"Intermediate")</f>
        <v>Intermediate</v>
      </c>
      <c r="E73" s="139" t="str">
        <f ca="1">IFERROR(__xludf.DUMMYFUNCTION("""COMPUTED_VALUE"""),"Consulting Foundations: Client Management and Relationships")</f>
        <v>Consulting Foundations: Client Management and Relationships</v>
      </c>
      <c r="F73" s="152"/>
      <c r="G73" s="134"/>
      <c r="H73" s="134"/>
      <c r="I73" s="134"/>
      <c r="J73" s="138">
        <f ca="1">IFERROR(__xludf.DUMMYFUNCTION("""COMPUTED_VALUE"""),471664)</f>
        <v>471664</v>
      </c>
      <c r="K73" s="138" t="str">
        <f ca="1">IFERROR(__xludf.DUMMYFUNCTION("""COMPUTED_VALUE"""),"Intermediate")</f>
        <v>Intermediate</v>
      </c>
      <c r="L73" s="139" t="str">
        <f ca="1">IFERROR(__xludf.DUMMYFUNCTION("""COMPUTED_VALUE"""),"Talent Sourcing")</f>
        <v>Talent Sourcing</v>
      </c>
      <c r="M73" s="152"/>
      <c r="N73" s="134"/>
      <c r="O73" s="134"/>
      <c r="P73" s="134"/>
      <c r="Q73" s="138">
        <f ca="1">IFERROR(__xludf.DUMMYFUNCTION("""COMPUTED_VALUE"""),786421)</f>
        <v>786421</v>
      </c>
      <c r="R73" s="138" t="str">
        <f ca="1">IFERROR(__xludf.DUMMYFUNCTION("""COMPUTED_VALUE"""),"Intermediate")</f>
        <v>Intermediate</v>
      </c>
      <c r="S73" s="139" t="str">
        <f ca="1">IFERROR(__xludf.DUMMYFUNCTION("""COMPUTED_VALUE"""),"Text Analytics and Predictions with Python Essential Training")</f>
        <v>Text Analytics and Predictions with Python Essential Training</v>
      </c>
      <c r="T73" s="152"/>
      <c r="U73" s="134"/>
      <c r="V73" s="134"/>
    </row>
    <row r="74" spans="1:22" ht="33.75" customHeight="1" x14ac:dyDescent="0.15">
      <c r="A74" s="134"/>
      <c r="B74" s="134"/>
      <c r="C74" s="138">
        <f ca="1">IFERROR(__xludf.DUMMYFUNCTION("""COMPUTED_VALUE"""),758618)</f>
        <v>758618</v>
      </c>
      <c r="D74" s="138" t="str">
        <f ca="1">IFERROR(__xludf.DUMMYFUNCTION("""COMPUTED_VALUE"""),"Intermediate")</f>
        <v>Intermediate</v>
      </c>
      <c r="E74" s="139" t="str">
        <f ca="1">IFERROR(__xludf.DUMMYFUNCTION("""COMPUTED_VALUE"""),"Critical Roles Consultants Play (and the Skills You Need to Fill Them)")</f>
        <v>Critical Roles Consultants Play (and the Skills You Need to Fill Them)</v>
      </c>
      <c r="F74" s="152"/>
      <c r="G74" s="134"/>
      <c r="H74" s="134"/>
      <c r="I74" s="134"/>
      <c r="J74" s="138">
        <f ca="1">IFERROR(__xludf.DUMMYFUNCTION("""COMPUTED_VALUE"""),2228265)</f>
        <v>2228265</v>
      </c>
      <c r="K74" s="138" t="str">
        <f ca="1">IFERROR(__xludf.DUMMYFUNCTION("""COMPUTED_VALUE"""),"Intermediate")</f>
        <v>Intermediate</v>
      </c>
      <c r="L74" s="139" t="str">
        <f ca="1">IFERROR(__xludf.DUMMYFUNCTION("""COMPUTED_VALUE"""),"Interviewing Techniques")</f>
        <v>Interviewing Techniques</v>
      </c>
      <c r="M74" s="152"/>
      <c r="N74" s="134"/>
      <c r="O74" s="134"/>
      <c r="P74" s="134"/>
      <c r="Q74" s="138">
        <f ca="1">IFERROR(__xludf.DUMMYFUNCTION("""COMPUTED_VALUE"""),765326)</f>
        <v>765326</v>
      </c>
      <c r="R74" s="138" t="str">
        <f ca="1">IFERROR(__xludf.DUMMYFUNCTION("""COMPUTED_VALUE"""),"Intermediate")</f>
        <v>Intermediate</v>
      </c>
      <c r="S74" s="139" t="str">
        <f ca="1">IFERROR(__xludf.DUMMYFUNCTION("""COMPUTED_VALUE"""),"AI Accountability Essential Training")</f>
        <v>AI Accountability Essential Training</v>
      </c>
      <c r="T74" s="152"/>
      <c r="U74" s="134"/>
      <c r="V74" s="134"/>
    </row>
    <row r="75" spans="1:22" ht="30" x14ac:dyDescent="0.15">
      <c r="A75" s="134"/>
      <c r="B75" s="134"/>
      <c r="C75" s="138">
        <f ca="1">IFERROR(__xludf.DUMMYFUNCTION("""COMPUTED_VALUE"""),765310)</f>
        <v>765310</v>
      </c>
      <c r="D75" s="138" t="str">
        <f ca="1">IFERROR(__xludf.DUMMYFUNCTION("""COMPUTED_VALUE"""),"Intermediate")</f>
        <v>Intermediate</v>
      </c>
      <c r="E75" s="139" t="str">
        <f ca="1">IFERROR(__xludf.DUMMYFUNCTION("""COMPUTED_VALUE"""),"Focusing on the Bottom Line as an Employee")</f>
        <v>Focusing on the Bottom Line as an Employee</v>
      </c>
      <c r="F75" s="152"/>
      <c r="G75" s="134"/>
      <c r="H75" s="134"/>
      <c r="I75" s="134"/>
      <c r="J75" s="138">
        <f ca="1">IFERROR(__xludf.DUMMYFUNCTION("""COMPUTED_VALUE"""),2811351)</f>
        <v>2811351</v>
      </c>
      <c r="K75" s="138" t="str">
        <f ca="1">IFERROR(__xludf.DUMMYFUNCTION("""COMPUTED_VALUE"""),"Intermediate")</f>
        <v>Intermediate</v>
      </c>
      <c r="L75" s="139" t="str">
        <f ca="1">IFERROR(__xludf.DUMMYFUNCTION("""COMPUTED_VALUE"""),"Practical Success Metrics in Your Training Program")</f>
        <v>Practical Success Metrics in Your Training Program</v>
      </c>
      <c r="M75" s="152"/>
      <c r="N75" s="134"/>
      <c r="O75" s="134"/>
      <c r="P75" s="134"/>
      <c r="Q75" s="138">
        <f ca="1">IFERROR(__xludf.DUMMYFUNCTION("""COMPUTED_VALUE"""),628707)</f>
        <v>628707</v>
      </c>
      <c r="R75" s="138" t="str">
        <f ca="1">IFERROR(__xludf.DUMMYFUNCTION("""COMPUTED_VALUE"""),"Intermediate")</f>
        <v>Intermediate</v>
      </c>
      <c r="S75" s="153" t="str">
        <f ca="1">IFERROR(__xludf.DUMMYFUNCTION("""COMPUTED_VALUE"""),"Deep Learning: Image Recognition")</f>
        <v>Deep Learning: Image Recognition</v>
      </c>
      <c r="T75" s="152"/>
      <c r="U75" s="134"/>
      <c r="V75" s="134"/>
    </row>
    <row r="76" spans="1:22" ht="15" x14ac:dyDescent="0.15">
      <c r="A76" s="134"/>
      <c r="B76" s="134"/>
      <c r="C76" s="138">
        <f ca="1">IFERROR(__xludf.DUMMYFUNCTION("""COMPUTED_VALUE"""),784276)</f>
        <v>784276</v>
      </c>
      <c r="D76" s="138" t="str">
        <f ca="1">IFERROR(__xludf.DUMMYFUNCTION("""COMPUTED_VALUE"""),"Intermediate")</f>
        <v>Intermediate</v>
      </c>
      <c r="E76" s="139" t="str">
        <f ca="1">IFERROR(__xludf.DUMMYFUNCTION("""COMPUTED_VALUE"""),"Excel for Investment Professionals")</f>
        <v>Excel for Investment Professionals</v>
      </c>
      <c r="F76" s="152"/>
      <c r="G76" s="134"/>
      <c r="H76" s="134"/>
      <c r="I76" s="134"/>
      <c r="J76" s="138">
        <f ca="1">IFERROR(__xludf.DUMMYFUNCTION("""COMPUTED_VALUE"""),2818079)</f>
        <v>2818079</v>
      </c>
      <c r="K76" s="138" t="str">
        <f ca="1">IFERROR(__xludf.DUMMYFUNCTION("""COMPUTED_VALUE"""),"Intermediate")</f>
        <v>Intermediate</v>
      </c>
      <c r="L76" s="139" t="str">
        <f ca="1">IFERROR(__xludf.DUMMYFUNCTION("""COMPUTED_VALUE"""),"Diversity Recruiting")</f>
        <v>Diversity Recruiting</v>
      </c>
      <c r="M76" s="152"/>
      <c r="N76" s="134"/>
      <c r="O76" s="134"/>
      <c r="P76" s="134"/>
      <c r="Q76" s="138">
        <f ca="1">IFERROR(__xludf.DUMMYFUNCTION("""COMPUTED_VALUE"""),628706)</f>
        <v>628706</v>
      </c>
      <c r="R76" s="138" t="str">
        <f ca="1">IFERROR(__xludf.DUMMYFUNCTION("""COMPUTED_VALUE"""),"Intermediate")</f>
        <v>Intermediate</v>
      </c>
      <c r="S76" s="153" t="str">
        <f ca="1">IFERROR(__xludf.DUMMYFUNCTION("""COMPUTED_VALUE"""),"Deep Learning: Face Recognition")</f>
        <v>Deep Learning: Face Recognition</v>
      </c>
      <c r="T76" s="152"/>
      <c r="U76" s="134"/>
      <c r="V76" s="134"/>
    </row>
    <row r="77" spans="1:22" ht="45" x14ac:dyDescent="0.15">
      <c r="A77" s="134"/>
      <c r="B77" s="134"/>
      <c r="C77" s="138">
        <f ca="1">IFERROR(__xludf.DUMMYFUNCTION("""COMPUTED_VALUE"""),504663)</f>
        <v>504663</v>
      </c>
      <c r="D77" s="138" t="str">
        <f ca="1">IFERROR(__xludf.DUMMYFUNCTION("""COMPUTED_VALUE"""),"Intermediate")</f>
        <v>Intermediate</v>
      </c>
      <c r="E77" s="139" t="str">
        <f ca="1">IFERROR(__xludf.DUMMYFUNCTION("""COMPUTED_VALUE"""),"Excel 2016: Financial Functions in Depth")</f>
        <v>Excel 2016: Financial Functions in Depth</v>
      </c>
      <c r="F77" s="152"/>
      <c r="G77" s="134"/>
      <c r="H77" s="134"/>
      <c r="I77" s="134"/>
      <c r="J77" s="138">
        <f ca="1">IFERROR(__xludf.DUMMYFUNCTION("""COMPUTED_VALUE"""),2820166)</f>
        <v>2820166</v>
      </c>
      <c r="K77" s="138" t="str">
        <f ca="1">IFERROR(__xludf.DUMMYFUNCTION("""COMPUTED_VALUE"""),"Intermediate")</f>
        <v>Intermediate</v>
      </c>
      <c r="L77" s="139" t="str">
        <f ca="1">IFERROR(__xludf.DUMMYFUNCTION("""COMPUTED_VALUE"""),"Interviewing a Job Candidate for Recruiters")</f>
        <v>Interviewing a Job Candidate for Recruiters</v>
      </c>
      <c r="M77" s="152"/>
      <c r="N77" s="134"/>
      <c r="O77" s="134"/>
      <c r="P77" s="134"/>
      <c r="Q77" s="138">
        <f ca="1">IFERROR(__xludf.DUMMYFUNCTION("""COMPUTED_VALUE"""),5022347)</f>
        <v>5022347</v>
      </c>
      <c r="R77" s="138" t="str">
        <f ca="1">IFERROR(__xludf.DUMMYFUNCTION("""COMPUTED_VALUE"""),"Intermediate")</f>
        <v>Intermediate</v>
      </c>
      <c r="S77" s="153" t="str">
        <f ca="1">IFERROR(__xludf.DUMMYFUNCTION("""COMPUTED_VALUE"""),"Algorithmic Trading and Finance Models with Python, R, and Stata Essential Training")</f>
        <v>Algorithmic Trading and Finance Models with Python, R, and Stata Essential Training</v>
      </c>
      <c r="T77" s="152"/>
      <c r="U77" s="134"/>
      <c r="V77" s="134"/>
    </row>
    <row r="78" spans="1:22" ht="30" x14ac:dyDescent="0.15">
      <c r="A78" s="134"/>
      <c r="B78" s="134"/>
      <c r="C78" s="138">
        <f ca="1">IFERROR(__xludf.DUMMYFUNCTION("""COMPUTED_VALUE"""),697706)</f>
        <v>697706</v>
      </c>
      <c r="D78" s="138" t="str">
        <f ca="1">IFERROR(__xludf.DUMMYFUNCTION("""COMPUTED_VALUE"""),"Intermediate")</f>
        <v>Intermediate</v>
      </c>
      <c r="E78" s="139" t="str">
        <f ca="1">IFERROR(__xludf.DUMMYFUNCTION("""COMPUTED_VALUE"""),"Excel for Corporate Finance Professionals")</f>
        <v>Excel for Corporate Finance Professionals</v>
      </c>
      <c r="F78" s="152"/>
      <c r="G78" s="134"/>
      <c r="H78" s="134"/>
      <c r="I78" s="134"/>
      <c r="J78" s="138">
        <f ca="1">IFERROR(__xludf.DUMMYFUNCTION("""COMPUTED_VALUE"""),2820192)</f>
        <v>2820192</v>
      </c>
      <c r="K78" s="138" t="str">
        <f ca="1">IFERROR(__xludf.DUMMYFUNCTION("""COMPUTED_VALUE"""),"Intermediate")</f>
        <v>Intermediate</v>
      </c>
      <c r="L78" s="139" t="str">
        <f ca="1">IFERROR(__xludf.DUMMYFUNCTION("""COMPUTED_VALUE"""),"Working with Prehire Assessments")</f>
        <v>Working with Prehire Assessments</v>
      </c>
      <c r="M78" s="152"/>
      <c r="N78" s="134"/>
      <c r="O78" s="134"/>
      <c r="P78" s="134"/>
      <c r="Q78" s="138">
        <f ca="1">IFERROR(__xludf.DUMMYFUNCTION("""COMPUTED_VALUE"""),5040395)</f>
        <v>5040395</v>
      </c>
      <c r="R78" s="138" t="str">
        <f ca="1">IFERROR(__xludf.DUMMYFUNCTION("""COMPUTED_VALUE"""),"Intermediate")</f>
        <v>Intermediate</v>
      </c>
      <c r="S78" s="153" t="str">
        <f ca="1">IFERROR(__xludf.DUMMYFUNCTION("""COMPUTED_VALUE"""),"Power BI Data Modeling with DAX")</f>
        <v>Power BI Data Modeling with DAX</v>
      </c>
      <c r="T78" s="152"/>
      <c r="U78" s="134"/>
      <c r="V78" s="134"/>
    </row>
    <row r="79" spans="1:22" ht="30" x14ac:dyDescent="0.15">
      <c r="A79" s="134"/>
      <c r="B79" s="134"/>
      <c r="C79" s="138">
        <f ca="1">IFERROR(__xludf.DUMMYFUNCTION("""COMPUTED_VALUE"""),5015860)</f>
        <v>5015860</v>
      </c>
      <c r="D79" s="138" t="str">
        <f ca="1">IFERROR(__xludf.DUMMYFUNCTION("""COMPUTED_VALUE"""),"Intermediate")</f>
        <v>Intermediate</v>
      </c>
      <c r="E79" s="139" t="str">
        <f ca="1">IFERROR(__xludf.DUMMYFUNCTION("""COMPUTED_VALUE"""),"Corporate Finance: Robust Financial Modeling")</f>
        <v>Corporate Finance: Robust Financial Modeling</v>
      </c>
      <c r="F79" s="152"/>
      <c r="G79" s="134"/>
      <c r="H79" s="134"/>
      <c r="I79" s="134"/>
      <c r="J79" s="138">
        <f ca="1">IFERROR(__xludf.DUMMYFUNCTION("""COMPUTED_VALUE"""),2822371)</f>
        <v>2822371</v>
      </c>
      <c r="K79" s="138" t="str">
        <f ca="1">IFERROR(__xludf.DUMMYFUNCTION("""COMPUTED_VALUE"""),"Intermediate")</f>
        <v>Intermediate</v>
      </c>
      <c r="L79" s="139" t="str">
        <f ca="1">IFERROR(__xludf.DUMMYFUNCTION("""COMPUTED_VALUE"""),"Setting and Managing Realistic Expectations for Your L&amp;D Program")</f>
        <v>Setting and Managing Realistic Expectations for Your L&amp;D Program</v>
      </c>
      <c r="M79" s="152"/>
      <c r="N79" s="134"/>
      <c r="O79" s="134"/>
      <c r="P79" s="134"/>
      <c r="Q79" s="138"/>
      <c r="R79" s="138"/>
      <c r="S79" s="151"/>
      <c r="T79" s="152"/>
      <c r="U79" s="134"/>
      <c r="V79" s="134"/>
    </row>
    <row r="80" spans="1:22" ht="30" x14ac:dyDescent="0.15">
      <c r="A80" s="134"/>
      <c r="B80" s="134"/>
      <c r="C80" s="138">
        <f ca="1">IFERROR(__xludf.DUMMYFUNCTION("""COMPUTED_VALUE"""),699323)</f>
        <v>699323</v>
      </c>
      <c r="D80" s="138" t="str">
        <f ca="1">IFERROR(__xludf.DUMMYFUNCTION("""COMPUTED_VALUE"""),"Intermediate")</f>
        <v>Intermediate</v>
      </c>
      <c r="E80" s="139" t="str">
        <f ca="1">IFERROR(__xludf.DUMMYFUNCTION("""COMPUTED_VALUE"""),"Information Management: Document Security")</f>
        <v>Information Management: Document Security</v>
      </c>
      <c r="F80" s="152"/>
      <c r="G80" s="134"/>
      <c r="H80" s="134"/>
      <c r="I80" s="134"/>
      <c r="J80" s="138">
        <f ca="1">IFERROR(__xludf.DUMMYFUNCTION("""COMPUTED_VALUE"""),2823546)</f>
        <v>2823546</v>
      </c>
      <c r="K80" s="138" t="str">
        <f ca="1">IFERROR(__xludf.DUMMYFUNCTION("""COMPUTED_VALUE"""),"Intermediate")</f>
        <v>Intermediate</v>
      </c>
      <c r="L80" s="139" t="str">
        <f ca="1">IFERROR(__xludf.DUMMYFUNCTION("""COMPUTED_VALUE"""),"Rolling Out a Diversity and Inclusion Training Program in Your Company")</f>
        <v>Rolling Out a Diversity and Inclusion Training Program in Your Company</v>
      </c>
      <c r="M80" s="152"/>
      <c r="N80" s="134"/>
      <c r="O80" s="134"/>
      <c r="P80" s="134"/>
      <c r="Q80" s="138"/>
      <c r="R80" s="138"/>
      <c r="S80" s="151"/>
      <c r="T80" s="152"/>
      <c r="U80" s="134"/>
      <c r="V80" s="134"/>
    </row>
    <row r="81" spans="1:22" ht="30" x14ac:dyDescent="0.15">
      <c r="A81" s="144"/>
      <c r="B81" s="144"/>
      <c r="C81" s="138">
        <f ca="1">IFERROR(__xludf.DUMMYFUNCTION("""COMPUTED_VALUE"""),699343)</f>
        <v>699343</v>
      </c>
      <c r="D81" s="138" t="str">
        <f ca="1">IFERROR(__xludf.DUMMYFUNCTION("""COMPUTED_VALUE"""),"Intermediate")</f>
        <v>Intermediate</v>
      </c>
      <c r="E81" s="139" t="str">
        <f ca="1">IFERROR(__xludf.DUMMYFUNCTION("""COMPUTED_VALUE"""),"Increasing Engagement with Elearning Programs")</f>
        <v>Increasing Engagement with Elearning Programs</v>
      </c>
      <c r="F81" s="152"/>
      <c r="G81" s="144"/>
      <c r="H81" s="144"/>
      <c r="I81" s="144"/>
      <c r="J81" s="138">
        <f ca="1">IFERROR(__xludf.DUMMYFUNCTION("""COMPUTED_VALUE"""),2823547)</f>
        <v>2823547</v>
      </c>
      <c r="K81" s="138" t="str">
        <f ca="1">IFERROR(__xludf.DUMMYFUNCTION("""COMPUTED_VALUE"""),"Intermediate")</f>
        <v>Intermediate</v>
      </c>
      <c r="L81" s="139" t="str">
        <f ca="1">IFERROR(__xludf.DUMMYFUNCTION("""COMPUTED_VALUE"""),"Managing Misconduct in the Workplace")</f>
        <v>Managing Misconduct in the Workplace</v>
      </c>
      <c r="M81" s="152"/>
      <c r="N81" s="144"/>
      <c r="O81" s="144"/>
      <c r="P81" s="144"/>
      <c r="Q81" s="138"/>
      <c r="R81" s="138"/>
      <c r="S81" s="151"/>
      <c r="T81" s="152"/>
      <c r="U81" s="144"/>
      <c r="V81" s="144"/>
    </row>
    <row r="82" spans="1:22" ht="15" x14ac:dyDescent="0.15">
      <c r="A82" s="144"/>
      <c r="B82" s="144"/>
      <c r="C82" s="138">
        <f ca="1">IFERROR(__xludf.DUMMYFUNCTION("""COMPUTED_VALUE"""),761929)</f>
        <v>761929</v>
      </c>
      <c r="D82" s="138" t="str">
        <f ca="1">IFERROR(__xludf.DUMMYFUNCTION("""COMPUTED_VALUE"""),"Intermediate")</f>
        <v>Intermediate</v>
      </c>
      <c r="E82" s="139" t="str">
        <f ca="1">IFERROR(__xludf.DUMMYFUNCTION("""COMPUTED_VALUE"""),"Agile Foundations")</f>
        <v>Agile Foundations</v>
      </c>
      <c r="F82" s="152"/>
      <c r="G82" s="144"/>
      <c r="H82" s="144"/>
      <c r="I82" s="144"/>
      <c r="J82" s="138">
        <f ca="1">IFERROR(__xludf.DUMMYFUNCTION("""COMPUTED_VALUE"""),2825605)</f>
        <v>2825605</v>
      </c>
      <c r="K82" s="138" t="str">
        <f ca="1">IFERROR(__xludf.DUMMYFUNCTION("""COMPUTED_VALUE"""),"Intermediate")</f>
        <v>Intermediate</v>
      </c>
      <c r="L82" s="139" t="str">
        <f ca="1">IFERROR(__xludf.DUMMYFUNCTION("""COMPUTED_VALUE"""),"Adobe Captivate: Advanced Actions")</f>
        <v>Adobe Captivate: Advanced Actions</v>
      </c>
      <c r="M82" s="152"/>
      <c r="N82" s="144"/>
      <c r="O82" s="144"/>
      <c r="P82" s="144"/>
      <c r="Q82" s="138"/>
      <c r="R82" s="138"/>
      <c r="S82" s="151"/>
      <c r="T82" s="152"/>
      <c r="U82" s="144"/>
      <c r="V82" s="144"/>
    </row>
    <row r="83" spans="1:22" ht="30" x14ac:dyDescent="0.15">
      <c r="A83" s="144"/>
      <c r="B83" s="144"/>
      <c r="C83" s="138">
        <f ca="1">IFERROR(__xludf.DUMMYFUNCTION("""COMPUTED_VALUE"""),777380)</f>
        <v>777380</v>
      </c>
      <c r="D83" s="138" t="str">
        <f ca="1">IFERROR(__xludf.DUMMYFUNCTION("""COMPUTED_VALUE"""),"Intermediate")</f>
        <v>Intermediate</v>
      </c>
      <c r="E83" s="139" t="str">
        <f ca="1">IFERROR(__xludf.DUMMYFUNCTION("""COMPUTED_VALUE"""),"Project Management: International Projects")</f>
        <v>Project Management: International Projects</v>
      </c>
      <c r="F83" s="152"/>
      <c r="G83" s="144"/>
      <c r="H83" s="144"/>
      <c r="I83" s="144"/>
      <c r="J83" s="138">
        <f ca="1">IFERROR(__xludf.DUMMYFUNCTION("""COMPUTED_VALUE"""),2976142)</f>
        <v>2976142</v>
      </c>
      <c r="K83" s="138" t="str">
        <f ca="1">IFERROR(__xludf.DUMMYFUNCTION("""COMPUTED_VALUE"""),"Intermediate")</f>
        <v>Intermediate</v>
      </c>
      <c r="L83" s="139" t="str">
        <f ca="1">IFERROR(__xludf.DUMMYFUNCTION("""COMPUTED_VALUE"""),"Converting Face-to-Face Training into Digital Learning")</f>
        <v>Converting Face-to-Face Training into Digital Learning</v>
      </c>
      <c r="M83" s="152"/>
      <c r="N83" s="144"/>
      <c r="O83" s="144"/>
      <c r="P83" s="144"/>
      <c r="Q83" s="138"/>
      <c r="R83" s="138"/>
      <c r="S83" s="151"/>
      <c r="T83" s="152"/>
      <c r="U83" s="144"/>
      <c r="V83" s="144"/>
    </row>
    <row r="84" spans="1:22" ht="15" x14ac:dyDescent="0.15">
      <c r="A84" s="144"/>
      <c r="B84" s="144"/>
      <c r="C84" s="138">
        <f ca="1">IFERROR(__xludf.DUMMYFUNCTION("""COMPUTED_VALUE"""),495322)</f>
        <v>495322</v>
      </c>
      <c r="D84" s="138" t="str">
        <f ca="1">IFERROR(__xludf.DUMMYFUNCTION("""COMPUTED_VALUE"""),"Intermediate")</f>
        <v>Intermediate</v>
      </c>
      <c r="E84" s="139" t="str">
        <f ca="1">IFERROR(__xludf.DUMMYFUNCTION("""COMPUTED_VALUE"""),"Statistics Foundations: 2")</f>
        <v>Statistics Foundations: 2</v>
      </c>
      <c r="F84" s="152"/>
      <c r="G84" s="144"/>
      <c r="H84" s="144"/>
      <c r="I84" s="144"/>
      <c r="J84" s="138">
        <f ca="1">IFERROR(__xludf.DUMMYFUNCTION("""COMPUTED_VALUE"""),2825438)</f>
        <v>2825438</v>
      </c>
      <c r="K84" s="138" t="str">
        <f ca="1">IFERROR(__xludf.DUMMYFUNCTION("""COMPUTED_VALUE"""),"Intermediate")</f>
        <v>Intermediate</v>
      </c>
      <c r="L84" s="139" t="str">
        <f ca="1">IFERROR(__xludf.DUMMYFUNCTION("""COMPUTED_VALUE"""),"Articulate Storyline Quick Tips")</f>
        <v>Articulate Storyline Quick Tips</v>
      </c>
      <c r="M84" s="152"/>
      <c r="N84" s="144"/>
      <c r="O84" s="144"/>
      <c r="P84" s="144"/>
      <c r="Q84" s="138"/>
      <c r="R84" s="138"/>
      <c r="S84" s="151"/>
      <c r="T84" s="152"/>
      <c r="U84" s="144"/>
      <c r="V84" s="144"/>
    </row>
    <row r="85" spans="1:22" ht="15" x14ac:dyDescent="0.15">
      <c r="A85" s="144"/>
      <c r="B85" s="144"/>
      <c r="C85" s="138">
        <f ca="1">IFERROR(__xludf.DUMMYFUNCTION("""COMPUTED_VALUE"""),609019)</f>
        <v>609019</v>
      </c>
      <c r="D85" s="138" t="str">
        <f ca="1">IFERROR(__xludf.DUMMYFUNCTION("""COMPUTED_VALUE"""),"Intermediate")</f>
        <v>Intermediate</v>
      </c>
      <c r="E85" s="139" t="str">
        <f ca="1">IFERROR(__xludf.DUMMYFUNCTION("""COMPUTED_VALUE"""),"Data Analytics for Business Professionals")</f>
        <v>Data Analytics for Business Professionals</v>
      </c>
      <c r="F85" s="152"/>
      <c r="G85" s="144"/>
      <c r="H85" s="144"/>
      <c r="I85" s="144"/>
      <c r="J85" s="138">
        <f ca="1">IFERROR(__xludf.DUMMYFUNCTION("""COMPUTED_VALUE"""),2822642)</f>
        <v>2822642</v>
      </c>
      <c r="K85" s="138" t="str">
        <f ca="1">IFERROR(__xludf.DUMMYFUNCTION("""COMPUTED_VALUE"""),"Intermediate")</f>
        <v>Intermediate</v>
      </c>
      <c r="L85" s="139" t="str">
        <f ca="1">IFERROR(__xludf.DUMMYFUNCTION("""COMPUTED_VALUE"""),"Leadership Mindsets")</f>
        <v>Leadership Mindsets</v>
      </c>
      <c r="M85" s="152"/>
      <c r="N85" s="144"/>
      <c r="O85" s="144"/>
      <c r="P85" s="144"/>
      <c r="Q85" s="138"/>
      <c r="R85" s="138"/>
      <c r="S85" s="151"/>
      <c r="T85" s="152"/>
      <c r="U85" s="144"/>
      <c r="V85" s="144"/>
    </row>
    <row r="86" spans="1:22" ht="30" x14ac:dyDescent="0.15">
      <c r="A86" s="144"/>
      <c r="B86" s="144"/>
      <c r="C86" s="138">
        <f ca="1">IFERROR(__xludf.DUMMYFUNCTION("""COMPUTED_VALUE"""),622076)</f>
        <v>622076</v>
      </c>
      <c r="D86" s="138" t="str">
        <f ca="1">IFERROR(__xludf.DUMMYFUNCTION("""COMPUTED_VALUE"""),"Intermediate")</f>
        <v>Intermediate</v>
      </c>
      <c r="E86" s="139" t="str">
        <f ca="1">IFERROR(__xludf.DUMMYFUNCTION("""COMPUTED_VALUE"""),"Algorithmic Trading and Stocks Essential Training")</f>
        <v>Algorithmic Trading and Stocks Essential Training</v>
      </c>
      <c r="F86" s="152"/>
      <c r="G86" s="144"/>
      <c r="H86" s="144"/>
      <c r="I86" s="144"/>
      <c r="J86" s="138"/>
      <c r="K86" s="138"/>
      <c r="L86" s="143"/>
      <c r="M86" s="152"/>
      <c r="N86" s="144"/>
      <c r="O86" s="144"/>
      <c r="P86" s="144"/>
      <c r="Q86" s="138"/>
      <c r="R86" s="138"/>
      <c r="S86" s="151"/>
      <c r="T86" s="152"/>
      <c r="U86" s="144"/>
      <c r="V86" s="144"/>
    </row>
    <row r="87" spans="1:22" ht="30" x14ac:dyDescent="0.15">
      <c r="A87" s="144"/>
      <c r="B87" s="144"/>
      <c r="C87" s="138">
        <f ca="1">IFERROR(__xludf.DUMMYFUNCTION("""COMPUTED_VALUE"""),622077)</f>
        <v>622077</v>
      </c>
      <c r="D87" s="138" t="str">
        <f ca="1">IFERROR(__xludf.DUMMYFUNCTION("""COMPUTED_VALUE"""),"Intermediate")</f>
        <v>Intermediate</v>
      </c>
      <c r="E87" s="139" t="str">
        <f ca="1">IFERROR(__xludf.DUMMYFUNCTION("""COMPUTED_VALUE"""),"Data Analytics for Pricing Analysts in Excel")</f>
        <v>Data Analytics for Pricing Analysts in Excel</v>
      </c>
      <c r="F87" s="152"/>
      <c r="G87" s="144"/>
      <c r="H87" s="144"/>
      <c r="I87" s="144"/>
      <c r="J87" s="138"/>
      <c r="K87" s="138"/>
      <c r="L87" s="143"/>
      <c r="M87" s="152"/>
      <c r="N87" s="144"/>
      <c r="O87" s="144"/>
      <c r="P87" s="144"/>
      <c r="Q87" s="138"/>
      <c r="R87" s="138"/>
      <c r="S87" s="151"/>
      <c r="T87" s="152"/>
      <c r="U87" s="144"/>
      <c r="V87" s="144"/>
    </row>
    <row r="88" spans="1:22" ht="15" x14ac:dyDescent="0.15">
      <c r="A88" s="144"/>
      <c r="B88" s="144"/>
      <c r="C88" s="138">
        <f ca="1">IFERROR(__xludf.DUMMYFUNCTION("""COMPUTED_VALUE"""),672260)</f>
        <v>672260</v>
      </c>
      <c r="D88" s="138" t="str">
        <f ca="1">IFERROR(__xludf.DUMMYFUNCTION("""COMPUTED_VALUE"""),"Intermediate")</f>
        <v>Intermediate</v>
      </c>
      <c r="E88" s="139" t="str">
        <f ca="1">IFERROR(__xludf.DUMMYFUNCTION("""COMPUTED_VALUE"""),"SQL for Statistics Essential Training")</f>
        <v>SQL for Statistics Essential Training</v>
      </c>
      <c r="F88" s="152"/>
      <c r="G88" s="144"/>
      <c r="H88" s="144"/>
      <c r="I88" s="144"/>
      <c r="J88" s="138"/>
      <c r="K88" s="138"/>
      <c r="L88" s="143"/>
      <c r="M88" s="152"/>
      <c r="N88" s="144"/>
      <c r="O88" s="144"/>
      <c r="P88" s="144"/>
      <c r="Q88" s="138"/>
      <c r="R88" s="138"/>
      <c r="S88" s="151"/>
      <c r="T88" s="152"/>
      <c r="U88" s="144"/>
      <c r="V88" s="144"/>
    </row>
    <row r="89" spans="1:22" ht="30" x14ac:dyDescent="0.15">
      <c r="A89" s="144"/>
      <c r="B89" s="144"/>
      <c r="C89" s="145">
        <f ca="1">IFERROR(__xludf.DUMMYFUNCTION("""COMPUTED_VALUE"""),2805906)</f>
        <v>2805906</v>
      </c>
      <c r="D89" s="145" t="str">
        <f ca="1">IFERROR(__xludf.DUMMYFUNCTION("""COMPUTED_VALUE"""),"Intermediate")</f>
        <v>Intermediate</v>
      </c>
      <c r="E89" s="146" t="str">
        <f ca="1">IFERROR(__xludf.DUMMYFUNCTION("""COMPUTED_VALUE"""),"Financial Modeling and Forecasting Financial Statements")</f>
        <v>Financial Modeling and Forecasting Financial Statements</v>
      </c>
      <c r="F89" s="155"/>
      <c r="G89" s="144"/>
      <c r="H89" s="144"/>
      <c r="I89" s="144"/>
      <c r="J89" s="145"/>
      <c r="K89" s="145"/>
      <c r="L89" s="148"/>
      <c r="M89" s="155"/>
      <c r="N89" s="144"/>
      <c r="O89" s="144"/>
      <c r="P89" s="144"/>
      <c r="Q89" s="145"/>
      <c r="R89" s="145"/>
      <c r="S89" s="154"/>
      <c r="T89" s="155"/>
      <c r="U89" s="144"/>
      <c r="V89" s="144"/>
    </row>
    <row r="90" spans="1:22" ht="15" x14ac:dyDescent="0.15">
      <c r="A90" s="144"/>
      <c r="B90" s="144"/>
      <c r="C90" s="145">
        <f ca="1">IFERROR(__xludf.DUMMYFUNCTION("""COMPUTED_VALUE"""),2815054)</f>
        <v>2815054</v>
      </c>
      <c r="D90" s="145" t="str">
        <f ca="1">IFERROR(__xludf.DUMMYFUNCTION("""COMPUTED_VALUE"""),"Intermediate")</f>
        <v>Intermediate</v>
      </c>
      <c r="E90" s="146" t="str">
        <f ca="1">IFERROR(__xludf.DUMMYFUNCTION("""COMPUTED_VALUE"""),"Accounting Foundations: Leases")</f>
        <v>Accounting Foundations: Leases</v>
      </c>
      <c r="F90" s="155"/>
      <c r="G90" s="144"/>
      <c r="H90" s="144"/>
      <c r="I90" s="144"/>
      <c r="J90" s="145"/>
      <c r="K90" s="145"/>
      <c r="L90" s="148"/>
      <c r="M90" s="155"/>
      <c r="N90" s="144"/>
      <c r="O90" s="144"/>
      <c r="P90" s="144"/>
      <c r="Q90" s="145"/>
      <c r="R90" s="145"/>
      <c r="S90" s="154"/>
      <c r="T90" s="155"/>
      <c r="U90" s="144"/>
      <c r="V90" s="144"/>
    </row>
    <row r="91" spans="1:22" ht="30" x14ac:dyDescent="0.15">
      <c r="A91" s="144"/>
      <c r="B91" s="144"/>
      <c r="C91" s="145">
        <f ca="1">IFERROR(__xludf.DUMMYFUNCTION("""COMPUTED_VALUE"""),2823100)</f>
        <v>2823100</v>
      </c>
      <c r="D91" s="145" t="str">
        <f ca="1">IFERROR(__xludf.DUMMYFUNCTION("""COMPUTED_VALUE"""),"Intermediate")</f>
        <v>Intermediate</v>
      </c>
      <c r="E91" s="146" t="str">
        <f ca="1">IFERROR(__xludf.DUMMYFUNCTION("""COMPUTED_VALUE"""),"Excel: Implementing Balanced Scorecards with KPIs")</f>
        <v>Excel: Implementing Balanced Scorecards with KPIs</v>
      </c>
      <c r="F91" s="155"/>
      <c r="G91" s="144"/>
      <c r="H91" s="144"/>
      <c r="I91" s="144"/>
      <c r="J91" s="145"/>
      <c r="K91" s="145"/>
      <c r="L91" s="148"/>
      <c r="M91" s="155"/>
      <c r="N91" s="144"/>
      <c r="O91" s="144"/>
      <c r="P91" s="144"/>
      <c r="Q91" s="145"/>
      <c r="R91" s="145"/>
      <c r="S91" s="154"/>
      <c r="T91" s="155"/>
      <c r="U91" s="144"/>
      <c r="V91" s="144"/>
    </row>
    <row r="92" spans="1:22" ht="30" x14ac:dyDescent="0.15">
      <c r="A92" s="144"/>
      <c r="B92" s="144"/>
      <c r="C92" s="145">
        <f ca="1">IFERROR(__xludf.DUMMYFUNCTION("""COMPUTED_VALUE"""),2825033)</f>
        <v>2825033</v>
      </c>
      <c r="D92" s="145" t="str">
        <f ca="1">IFERROR(__xludf.DUMMYFUNCTION("""COMPUTED_VALUE"""),"Intermediate")</f>
        <v>Intermediate</v>
      </c>
      <c r="E92" s="146" t="str">
        <f ca="1">IFERROR(__xludf.DUMMYFUNCTION("""COMPUTED_VALUE"""),"Accounting Foundations: Internal Controls")</f>
        <v>Accounting Foundations: Internal Controls</v>
      </c>
      <c r="F92" s="155"/>
      <c r="G92" s="144"/>
      <c r="H92" s="144"/>
      <c r="I92" s="144"/>
      <c r="J92" s="145"/>
      <c r="K92" s="145"/>
      <c r="L92" s="148"/>
      <c r="M92" s="155"/>
      <c r="N92" s="144"/>
      <c r="O92" s="144"/>
      <c r="P92" s="144"/>
      <c r="Q92" s="145"/>
      <c r="R92" s="145"/>
      <c r="S92" s="154"/>
      <c r="T92" s="155"/>
      <c r="U92" s="144"/>
      <c r="V92" s="144"/>
    </row>
    <row r="93" spans="1:22" ht="30" x14ac:dyDescent="0.15">
      <c r="A93" s="144"/>
      <c r="B93" s="144"/>
      <c r="C93" s="145">
        <f ca="1">IFERROR(__xludf.DUMMYFUNCTION("""COMPUTED_VALUE"""),2805121)</f>
        <v>2805121</v>
      </c>
      <c r="D93" s="145" t="str">
        <f ca="1">IFERROR(__xludf.DUMMYFUNCTION("""COMPUTED_VALUE"""),"Intermediate")</f>
        <v>Intermediate</v>
      </c>
      <c r="E93" s="146" t="str">
        <f ca="1">IFERROR(__xludf.DUMMYFUNCTION("""COMPUTED_VALUE"""),"Evaluating Business Investment Decisions")</f>
        <v>Evaluating Business Investment Decisions</v>
      </c>
      <c r="F93" s="155"/>
      <c r="G93" s="144"/>
      <c r="H93" s="144"/>
      <c r="I93" s="144"/>
      <c r="J93" s="145"/>
      <c r="K93" s="145"/>
      <c r="L93" s="148"/>
      <c r="M93" s="155"/>
      <c r="N93" s="144"/>
      <c r="O93" s="144"/>
      <c r="P93" s="144"/>
      <c r="Q93" s="145"/>
      <c r="R93" s="145"/>
      <c r="S93" s="154"/>
      <c r="T93" s="155"/>
      <c r="U93" s="144"/>
      <c r="V93" s="144"/>
    </row>
    <row r="94" spans="1:22" ht="15" x14ac:dyDescent="0.15">
      <c r="A94" s="144"/>
      <c r="B94" s="144"/>
      <c r="C94" s="145">
        <f ca="1">IFERROR(__xludf.DUMMYFUNCTION("""COMPUTED_VALUE"""),5019813)</f>
        <v>5019813</v>
      </c>
      <c r="D94" s="145" t="str">
        <f ca="1">IFERROR(__xludf.DUMMYFUNCTION("""COMPUTED_VALUE"""),"Intermediate")</f>
        <v>Intermediate</v>
      </c>
      <c r="E94" s="146" t="str">
        <f ca="1">IFERROR(__xludf.DUMMYFUNCTION("""COMPUTED_VALUE"""),"AI in Fintech Essential Training")</f>
        <v>AI in Fintech Essential Training</v>
      </c>
      <c r="F94" s="155"/>
      <c r="G94" s="144"/>
      <c r="H94" s="144"/>
      <c r="I94" s="144"/>
      <c r="J94" s="145"/>
      <c r="K94" s="145"/>
      <c r="L94" s="148"/>
      <c r="M94" s="155"/>
      <c r="N94" s="144"/>
      <c r="O94" s="144"/>
      <c r="P94" s="144"/>
      <c r="Q94" s="145"/>
      <c r="R94" s="145"/>
      <c r="S94" s="154"/>
      <c r="T94" s="155"/>
      <c r="U94" s="144"/>
      <c r="V94" s="144"/>
    </row>
    <row r="95" spans="1:22" ht="30" x14ac:dyDescent="0.15">
      <c r="A95" s="144"/>
      <c r="B95" s="144"/>
      <c r="C95" s="145">
        <f ca="1">IFERROR(__xludf.DUMMYFUNCTION("""COMPUTED_VALUE"""),2823136)</f>
        <v>2823136</v>
      </c>
      <c r="D95" s="145" t="str">
        <f ca="1">IFERROR(__xludf.DUMMYFUNCTION("""COMPUTED_VALUE"""),"Intermediate")</f>
        <v>Intermediate</v>
      </c>
      <c r="E95" s="146" t="str">
        <f ca="1">IFERROR(__xludf.DUMMYFUNCTION("""COMPUTED_VALUE"""),"Accounting Foundations: Cost-Based Pricing Strategies")</f>
        <v>Accounting Foundations: Cost-Based Pricing Strategies</v>
      </c>
      <c r="F95" s="155"/>
      <c r="G95" s="144"/>
      <c r="H95" s="144"/>
      <c r="I95" s="144"/>
      <c r="J95" s="145"/>
      <c r="K95" s="145"/>
      <c r="L95" s="148"/>
      <c r="M95" s="155"/>
      <c r="N95" s="144"/>
      <c r="O95" s="144"/>
      <c r="P95" s="144"/>
      <c r="Q95" s="145"/>
      <c r="R95" s="145"/>
      <c r="S95" s="154"/>
      <c r="T95" s="155"/>
      <c r="U95" s="144"/>
      <c r="V95" s="144"/>
    </row>
    <row r="96" spans="1:22" ht="14" x14ac:dyDescent="0.15">
      <c r="A96" s="144"/>
      <c r="B96" s="144"/>
      <c r="C96" s="145"/>
      <c r="D96" s="145"/>
      <c r="E96" s="148"/>
      <c r="F96" s="155"/>
      <c r="G96" s="144"/>
      <c r="H96" s="144"/>
      <c r="I96" s="144"/>
      <c r="J96" s="145"/>
      <c r="K96" s="145"/>
      <c r="L96" s="148"/>
      <c r="M96" s="155"/>
      <c r="N96" s="144"/>
      <c r="O96" s="144"/>
      <c r="P96" s="144"/>
      <c r="Q96" s="145"/>
      <c r="R96" s="145"/>
      <c r="S96" s="154"/>
      <c r="T96" s="155"/>
      <c r="U96" s="144"/>
      <c r="V96" s="144"/>
    </row>
    <row r="97" spans="1:22" ht="14" x14ac:dyDescent="0.15">
      <c r="A97" s="144"/>
      <c r="B97" s="144"/>
      <c r="C97" s="145"/>
      <c r="D97" s="145"/>
      <c r="E97" s="148"/>
      <c r="F97" s="155"/>
      <c r="G97" s="144"/>
      <c r="H97" s="144"/>
      <c r="I97" s="144"/>
      <c r="J97" s="145"/>
      <c r="K97" s="145"/>
      <c r="L97" s="148"/>
      <c r="M97" s="155"/>
      <c r="N97" s="144"/>
      <c r="O97" s="144"/>
      <c r="P97" s="144"/>
      <c r="Q97" s="145"/>
      <c r="R97" s="145"/>
      <c r="S97" s="154"/>
      <c r="T97" s="155"/>
      <c r="U97" s="144"/>
      <c r="V97" s="144"/>
    </row>
    <row r="98" spans="1:22" ht="14" x14ac:dyDescent="0.15">
      <c r="A98" s="144"/>
      <c r="B98" s="144"/>
      <c r="C98" s="145"/>
      <c r="D98" s="145"/>
      <c r="E98" s="148"/>
      <c r="F98" s="155"/>
      <c r="G98" s="144"/>
      <c r="H98" s="144"/>
      <c r="I98" s="144"/>
      <c r="J98" s="145"/>
      <c r="K98" s="145"/>
      <c r="L98" s="148"/>
      <c r="M98" s="155"/>
      <c r="N98" s="144"/>
      <c r="O98" s="144"/>
      <c r="P98" s="144"/>
      <c r="Q98" s="145"/>
      <c r="R98" s="145"/>
      <c r="S98" s="154"/>
      <c r="T98" s="155"/>
      <c r="U98" s="144"/>
      <c r="V98" s="144"/>
    </row>
    <row r="99" spans="1:22" ht="14" x14ac:dyDescent="0.15">
      <c r="A99" s="144"/>
      <c r="B99" s="144"/>
      <c r="C99" s="145"/>
      <c r="D99" s="145"/>
      <c r="E99" s="148"/>
      <c r="F99" s="155"/>
      <c r="G99" s="144"/>
      <c r="H99" s="144"/>
      <c r="I99" s="144"/>
      <c r="J99" s="145"/>
      <c r="K99" s="145"/>
      <c r="L99" s="148"/>
      <c r="M99" s="155"/>
      <c r="N99" s="144"/>
      <c r="O99" s="144"/>
      <c r="P99" s="144"/>
      <c r="Q99" s="145"/>
      <c r="R99" s="145"/>
      <c r="S99" s="154"/>
      <c r="T99" s="155"/>
      <c r="U99" s="144"/>
      <c r="V99" s="144"/>
    </row>
    <row r="100" spans="1:22" ht="14" x14ac:dyDescent="0.15">
      <c r="A100" s="144"/>
      <c r="B100" s="144"/>
      <c r="C100" s="145"/>
      <c r="D100" s="145"/>
      <c r="E100" s="148"/>
      <c r="F100" s="155"/>
      <c r="G100" s="144"/>
      <c r="H100" s="144"/>
      <c r="I100" s="144"/>
      <c r="J100" s="145"/>
      <c r="K100" s="145"/>
      <c r="L100" s="148"/>
      <c r="M100" s="155"/>
      <c r="N100" s="144"/>
      <c r="O100" s="144"/>
      <c r="P100" s="144"/>
      <c r="Q100" s="145"/>
      <c r="R100" s="145"/>
      <c r="S100" s="154"/>
      <c r="T100" s="155"/>
      <c r="U100" s="144"/>
      <c r="V100" s="144"/>
    </row>
    <row r="101" spans="1:22" ht="14" x14ac:dyDescent="0.15">
      <c r="A101" s="144"/>
      <c r="B101" s="144"/>
      <c r="C101" s="145"/>
      <c r="D101" s="145"/>
      <c r="E101" s="148"/>
      <c r="F101" s="155"/>
      <c r="G101" s="144"/>
      <c r="H101" s="144"/>
      <c r="I101" s="144"/>
      <c r="J101" s="145"/>
      <c r="K101" s="145"/>
      <c r="L101" s="148"/>
      <c r="M101" s="155"/>
      <c r="N101" s="144"/>
      <c r="O101" s="144"/>
      <c r="P101" s="144"/>
      <c r="Q101" s="145"/>
      <c r="R101" s="145"/>
      <c r="S101" s="154"/>
      <c r="T101" s="155"/>
      <c r="U101" s="144"/>
      <c r="V101" s="144"/>
    </row>
    <row r="102" spans="1:22" ht="14" x14ac:dyDescent="0.15">
      <c r="A102" s="144"/>
      <c r="B102" s="144"/>
      <c r="C102" s="145"/>
      <c r="D102" s="145"/>
      <c r="E102" s="148"/>
      <c r="F102" s="155"/>
      <c r="G102" s="144"/>
      <c r="H102" s="144"/>
      <c r="I102" s="144"/>
      <c r="J102" s="145"/>
      <c r="K102" s="145"/>
      <c r="L102" s="148"/>
      <c r="M102" s="155"/>
      <c r="N102" s="144"/>
      <c r="O102" s="144"/>
      <c r="P102" s="144"/>
      <c r="Q102" s="145"/>
      <c r="R102" s="145"/>
      <c r="S102" s="154"/>
      <c r="T102" s="155"/>
      <c r="U102" s="144"/>
      <c r="V102" s="144"/>
    </row>
    <row r="103" spans="1:22" ht="14" x14ac:dyDescent="0.15">
      <c r="A103" s="144"/>
      <c r="B103" s="144"/>
      <c r="C103" s="145"/>
      <c r="D103" s="145"/>
      <c r="E103" s="148"/>
      <c r="F103" s="155"/>
      <c r="G103" s="144"/>
      <c r="H103" s="144"/>
      <c r="I103" s="144"/>
      <c r="J103" s="145"/>
      <c r="K103" s="145"/>
      <c r="L103" s="148"/>
      <c r="M103" s="155"/>
      <c r="N103" s="144"/>
      <c r="O103" s="144"/>
      <c r="P103" s="144"/>
      <c r="Q103" s="145"/>
      <c r="R103" s="145"/>
      <c r="S103" s="154"/>
      <c r="T103" s="155"/>
      <c r="U103" s="144"/>
      <c r="V103" s="144"/>
    </row>
    <row r="104" spans="1:22" ht="14" x14ac:dyDescent="0.15">
      <c r="A104" s="144"/>
      <c r="B104" s="144"/>
      <c r="C104" s="145"/>
      <c r="D104" s="145"/>
      <c r="E104" s="148"/>
      <c r="F104" s="155"/>
      <c r="G104" s="144"/>
      <c r="H104" s="144"/>
      <c r="I104" s="144"/>
      <c r="J104" s="145"/>
      <c r="K104" s="145"/>
      <c r="L104" s="148"/>
      <c r="M104" s="155"/>
      <c r="N104" s="144"/>
      <c r="O104" s="144"/>
      <c r="P104" s="144"/>
      <c r="Q104" s="145"/>
      <c r="R104" s="145"/>
      <c r="S104" s="154"/>
      <c r="T104" s="155"/>
      <c r="U104" s="144"/>
      <c r="V104" s="144"/>
    </row>
    <row r="105" spans="1:22" ht="14" x14ac:dyDescent="0.15">
      <c r="A105" s="144"/>
      <c r="B105" s="144"/>
      <c r="C105" s="145"/>
      <c r="D105" s="145"/>
      <c r="E105" s="148"/>
      <c r="F105" s="155"/>
      <c r="G105" s="144"/>
      <c r="H105" s="144"/>
      <c r="I105" s="144"/>
      <c r="J105" s="145"/>
      <c r="K105" s="145"/>
      <c r="L105" s="148"/>
      <c r="M105" s="155"/>
      <c r="N105" s="144"/>
      <c r="O105" s="144"/>
      <c r="P105" s="144"/>
      <c r="Q105" s="145"/>
      <c r="R105" s="145"/>
      <c r="S105" s="154"/>
      <c r="T105" s="155"/>
      <c r="U105" s="144"/>
      <c r="V105" s="144"/>
    </row>
    <row r="106" spans="1:22" ht="14" x14ac:dyDescent="0.15">
      <c r="A106" s="144"/>
      <c r="B106" s="144"/>
      <c r="C106" s="145"/>
      <c r="D106" s="145"/>
      <c r="E106" s="148"/>
      <c r="F106" s="155"/>
      <c r="G106" s="144"/>
      <c r="H106" s="144"/>
      <c r="I106" s="144"/>
      <c r="J106" s="145"/>
      <c r="K106" s="145"/>
      <c r="L106" s="148"/>
      <c r="M106" s="155"/>
      <c r="N106" s="144"/>
      <c r="O106" s="144"/>
      <c r="P106" s="144"/>
      <c r="Q106" s="145"/>
      <c r="R106" s="145"/>
      <c r="S106" s="154"/>
      <c r="T106" s="155"/>
      <c r="U106" s="144"/>
      <c r="V106" s="144"/>
    </row>
    <row r="107" spans="1:22" ht="14" x14ac:dyDescent="0.15">
      <c r="A107" s="144"/>
      <c r="B107" s="144"/>
      <c r="C107" s="145"/>
      <c r="D107" s="145"/>
      <c r="E107" s="148"/>
      <c r="F107" s="155"/>
      <c r="G107" s="144"/>
      <c r="H107" s="144"/>
      <c r="I107" s="144"/>
      <c r="J107" s="145"/>
      <c r="K107" s="145"/>
      <c r="L107" s="148"/>
      <c r="M107" s="155"/>
      <c r="N107" s="144"/>
      <c r="O107" s="144"/>
      <c r="P107" s="144"/>
      <c r="Q107" s="145"/>
      <c r="R107" s="145"/>
      <c r="S107" s="154"/>
      <c r="T107" s="155"/>
      <c r="U107" s="144"/>
      <c r="V107" s="144"/>
    </row>
    <row r="108" spans="1:22" ht="14" x14ac:dyDescent="0.15">
      <c r="A108" s="144"/>
      <c r="B108" s="144"/>
      <c r="C108" s="145"/>
      <c r="D108" s="145"/>
      <c r="E108" s="148"/>
      <c r="F108" s="155"/>
      <c r="G108" s="144"/>
      <c r="H108" s="144"/>
      <c r="I108" s="144"/>
      <c r="J108" s="145"/>
      <c r="K108" s="145"/>
      <c r="L108" s="148"/>
      <c r="M108" s="155"/>
      <c r="N108" s="144"/>
      <c r="O108" s="144"/>
      <c r="P108" s="144"/>
      <c r="Q108" s="145"/>
      <c r="R108" s="145"/>
      <c r="S108" s="154"/>
      <c r="T108" s="155"/>
      <c r="U108" s="144"/>
      <c r="V108" s="144"/>
    </row>
    <row r="109" spans="1:22" ht="14" x14ac:dyDescent="0.15">
      <c r="A109" s="144"/>
      <c r="B109" s="144"/>
      <c r="C109" s="145"/>
      <c r="D109" s="145"/>
      <c r="E109" s="148"/>
      <c r="F109" s="155"/>
      <c r="G109" s="144"/>
      <c r="H109" s="144"/>
      <c r="I109" s="144"/>
      <c r="J109" s="145"/>
      <c r="K109" s="145"/>
      <c r="L109" s="148"/>
      <c r="M109" s="155"/>
      <c r="N109" s="144"/>
      <c r="O109" s="144"/>
      <c r="P109" s="144"/>
      <c r="Q109" s="145"/>
      <c r="R109" s="145"/>
      <c r="S109" s="154"/>
      <c r="T109" s="155"/>
      <c r="U109" s="144"/>
      <c r="V109" s="144"/>
    </row>
    <row r="110" spans="1:22" ht="14" x14ac:dyDescent="0.15">
      <c r="A110" s="144"/>
      <c r="B110" s="144"/>
      <c r="C110" s="145"/>
      <c r="D110" s="145"/>
      <c r="E110" s="148"/>
      <c r="F110" s="155"/>
      <c r="G110" s="144"/>
      <c r="H110" s="144"/>
      <c r="I110" s="144"/>
      <c r="J110" s="145"/>
      <c r="K110" s="145"/>
      <c r="L110" s="148"/>
      <c r="M110" s="155"/>
      <c r="N110" s="144"/>
      <c r="O110" s="144"/>
      <c r="P110" s="144"/>
      <c r="Q110" s="145"/>
      <c r="R110" s="145"/>
      <c r="S110" s="154"/>
      <c r="T110" s="155"/>
      <c r="U110" s="144"/>
      <c r="V110" s="144"/>
    </row>
    <row r="111" spans="1:22" ht="14" x14ac:dyDescent="0.15">
      <c r="A111" s="144"/>
      <c r="B111" s="144"/>
      <c r="C111" s="145"/>
      <c r="D111" s="145"/>
      <c r="E111" s="148"/>
      <c r="F111" s="155"/>
      <c r="G111" s="144"/>
      <c r="H111" s="144"/>
      <c r="I111" s="144"/>
      <c r="J111" s="145"/>
      <c r="K111" s="145"/>
      <c r="L111" s="148"/>
      <c r="M111" s="155"/>
      <c r="N111" s="144"/>
      <c r="O111" s="144"/>
      <c r="P111" s="144"/>
      <c r="Q111" s="145"/>
      <c r="R111" s="145"/>
      <c r="S111" s="154"/>
      <c r="T111" s="155"/>
      <c r="U111" s="144"/>
      <c r="V111" s="144"/>
    </row>
    <row r="112" spans="1:22" ht="14" x14ac:dyDescent="0.15">
      <c r="A112" s="144"/>
      <c r="B112" s="144"/>
      <c r="C112" s="145"/>
      <c r="D112" s="145"/>
      <c r="E112" s="148"/>
      <c r="F112" s="155"/>
      <c r="G112" s="144"/>
      <c r="H112" s="144"/>
      <c r="I112" s="144"/>
      <c r="J112" s="145"/>
      <c r="K112" s="145"/>
      <c r="L112" s="148"/>
      <c r="M112" s="155"/>
      <c r="N112" s="144"/>
      <c r="O112" s="144"/>
      <c r="P112" s="144"/>
      <c r="Q112" s="145"/>
      <c r="R112" s="145"/>
      <c r="S112" s="154"/>
      <c r="T112" s="155"/>
      <c r="U112" s="144"/>
      <c r="V112" s="144"/>
    </row>
    <row r="113" spans="1:22" ht="14" x14ac:dyDescent="0.15">
      <c r="A113" s="144"/>
      <c r="B113" s="144"/>
      <c r="C113" s="145"/>
      <c r="D113" s="145"/>
      <c r="E113" s="148"/>
      <c r="F113" s="155"/>
      <c r="G113" s="144"/>
      <c r="H113" s="144"/>
      <c r="I113" s="144"/>
      <c r="J113" s="145"/>
      <c r="K113" s="145"/>
      <c r="L113" s="148"/>
      <c r="M113" s="155"/>
      <c r="N113" s="144"/>
      <c r="O113" s="144"/>
      <c r="P113" s="144"/>
      <c r="Q113" s="145"/>
      <c r="R113" s="145"/>
      <c r="S113" s="154"/>
      <c r="T113" s="155"/>
      <c r="U113" s="144"/>
      <c r="V113" s="144"/>
    </row>
    <row r="114" spans="1:22" ht="14" x14ac:dyDescent="0.15">
      <c r="A114" s="144"/>
      <c r="B114" s="144"/>
      <c r="C114" s="145"/>
      <c r="D114" s="145"/>
      <c r="E114" s="148"/>
      <c r="F114" s="155"/>
      <c r="G114" s="144"/>
      <c r="H114" s="144"/>
      <c r="I114" s="144"/>
      <c r="J114" s="145"/>
      <c r="K114" s="145"/>
      <c r="L114" s="148"/>
      <c r="M114" s="155"/>
      <c r="N114" s="144"/>
      <c r="O114" s="144"/>
      <c r="P114" s="144"/>
      <c r="Q114" s="145"/>
      <c r="R114" s="145"/>
      <c r="S114" s="154"/>
      <c r="T114" s="155"/>
      <c r="U114" s="144"/>
      <c r="V114" s="144"/>
    </row>
    <row r="115" spans="1:22" ht="14" x14ac:dyDescent="0.15">
      <c r="A115" s="144"/>
      <c r="B115" s="144"/>
      <c r="C115" s="145"/>
      <c r="D115" s="145"/>
      <c r="E115" s="148"/>
      <c r="F115" s="155"/>
      <c r="G115" s="144"/>
      <c r="H115" s="144"/>
      <c r="I115" s="144"/>
      <c r="J115" s="145"/>
      <c r="K115" s="145"/>
      <c r="L115" s="148"/>
      <c r="M115" s="155"/>
      <c r="N115" s="144"/>
      <c r="O115" s="144"/>
      <c r="P115" s="144"/>
      <c r="Q115" s="145"/>
      <c r="R115" s="145"/>
      <c r="S115" s="154"/>
      <c r="T115" s="155"/>
      <c r="U115" s="144"/>
      <c r="V115" s="144"/>
    </row>
    <row r="116" spans="1:22" ht="14" x14ac:dyDescent="0.15">
      <c r="A116" s="144"/>
      <c r="B116" s="144"/>
      <c r="C116" s="145"/>
      <c r="D116" s="145"/>
      <c r="E116" s="148"/>
      <c r="F116" s="155"/>
      <c r="G116" s="144"/>
      <c r="H116" s="144"/>
      <c r="I116" s="144"/>
      <c r="J116" s="145"/>
      <c r="K116" s="145"/>
      <c r="L116" s="148"/>
      <c r="M116" s="155"/>
      <c r="N116" s="144"/>
      <c r="O116" s="144"/>
      <c r="P116" s="144"/>
      <c r="Q116" s="145"/>
      <c r="R116" s="145"/>
      <c r="S116" s="154"/>
      <c r="T116" s="155"/>
      <c r="U116" s="144"/>
      <c r="V116" s="144"/>
    </row>
    <row r="117" spans="1:22" ht="14" x14ac:dyDescent="0.15">
      <c r="A117" s="144"/>
      <c r="B117" s="144"/>
      <c r="C117" s="145"/>
      <c r="D117" s="145"/>
      <c r="E117" s="148"/>
      <c r="F117" s="155"/>
      <c r="G117" s="144"/>
      <c r="H117" s="144"/>
      <c r="I117" s="144"/>
      <c r="J117" s="145"/>
      <c r="K117" s="145"/>
      <c r="L117" s="148"/>
      <c r="M117" s="155"/>
      <c r="N117" s="144"/>
      <c r="O117" s="144"/>
      <c r="P117" s="144"/>
      <c r="Q117" s="145"/>
      <c r="R117" s="145"/>
      <c r="S117" s="154"/>
      <c r="T117" s="155"/>
      <c r="U117" s="144"/>
      <c r="V117" s="144"/>
    </row>
    <row r="118" spans="1:22" ht="14" x14ac:dyDescent="0.15">
      <c r="A118" s="144"/>
      <c r="B118" s="144"/>
      <c r="C118" s="145"/>
      <c r="D118" s="145"/>
      <c r="E118" s="148"/>
      <c r="F118" s="155"/>
      <c r="G118" s="144"/>
      <c r="H118" s="144"/>
      <c r="I118" s="144"/>
      <c r="J118" s="145"/>
      <c r="K118" s="145"/>
      <c r="L118" s="148"/>
      <c r="M118" s="155"/>
      <c r="N118" s="144"/>
      <c r="O118" s="144"/>
      <c r="P118" s="144"/>
      <c r="Q118" s="145"/>
      <c r="R118" s="145"/>
      <c r="S118" s="154"/>
      <c r="T118" s="155"/>
      <c r="U118" s="144"/>
      <c r="V118" s="144"/>
    </row>
    <row r="119" spans="1:22" ht="14" x14ac:dyDescent="0.15">
      <c r="A119" s="144"/>
      <c r="B119" s="144"/>
      <c r="C119" s="145"/>
      <c r="D119" s="145"/>
      <c r="E119" s="148"/>
      <c r="F119" s="155"/>
      <c r="G119" s="144"/>
      <c r="H119" s="144"/>
      <c r="I119" s="144"/>
      <c r="J119" s="145"/>
      <c r="K119" s="145"/>
      <c r="L119" s="148"/>
      <c r="M119" s="155"/>
      <c r="N119" s="144"/>
      <c r="O119" s="144"/>
      <c r="P119" s="144"/>
      <c r="Q119" s="145"/>
      <c r="R119" s="145"/>
      <c r="S119" s="154"/>
      <c r="T119" s="155"/>
      <c r="U119" s="144"/>
      <c r="V119" s="144"/>
    </row>
    <row r="120" spans="1:22" ht="14" x14ac:dyDescent="0.15">
      <c r="A120" s="144"/>
      <c r="B120" s="144"/>
      <c r="C120" s="145"/>
      <c r="D120" s="145"/>
      <c r="E120" s="148"/>
      <c r="F120" s="155"/>
      <c r="G120" s="144"/>
      <c r="H120" s="144"/>
      <c r="I120" s="144"/>
      <c r="J120" s="145"/>
      <c r="K120" s="145"/>
      <c r="L120" s="148"/>
      <c r="M120" s="155"/>
      <c r="N120" s="144"/>
      <c r="O120" s="144"/>
      <c r="P120" s="144"/>
      <c r="Q120" s="145"/>
      <c r="R120" s="145"/>
      <c r="S120" s="154"/>
      <c r="T120" s="155"/>
      <c r="U120" s="144"/>
      <c r="V120" s="144"/>
    </row>
    <row r="121" spans="1:22" ht="14" x14ac:dyDescent="0.15">
      <c r="A121" s="144"/>
      <c r="B121" s="144"/>
      <c r="C121" s="145"/>
      <c r="D121" s="145"/>
      <c r="E121" s="148"/>
      <c r="F121" s="155"/>
      <c r="G121" s="144"/>
      <c r="H121" s="144"/>
      <c r="I121" s="144"/>
      <c r="J121" s="145"/>
      <c r="K121" s="145"/>
      <c r="L121" s="148"/>
      <c r="M121" s="155"/>
      <c r="N121" s="144"/>
      <c r="O121" s="144"/>
      <c r="P121" s="144"/>
      <c r="Q121" s="145"/>
      <c r="R121" s="145"/>
      <c r="S121" s="154"/>
      <c r="T121" s="155"/>
      <c r="U121" s="144"/>
      <c r="V121" s="144"/>
    </row>
    <row r="122" spans="1:22" ht="14" x14ac:dyDescent="0.15">
      <c r="A122" s="144"/>
      <c r="B122" s="144"/>
      <c r="C122" s="145"/>
      <c r="D122" s="145"/>
      <c r="E122" s="148"/>
      <c r="F122" s="155"/>
      <c r="G122" s="144"/>
      <c r="H122" s="144"/>
      <c r="I122" s="144"/>
      <c r="J122" s="145"/>
      <c r="K122" s="145"/>
      <c r="L122" s="148"/>
      <c r="M122" s="155"/>
      <c r="N122" s="144"/>
      <c r="O122" s="144"/>
      <c r="P122" s="144"/>
      <c r="Q122" s="145"/>
      <c r="R122" s="145"/>
      <c r="S122" s="154"/>
      <c r="T122" s="155"/>
      <c r="U122" s="144"/>
      <c r="V122" s="144"/>
    </row>
    <row r="123" spans="1:22" ht="14" x14ac:dyDescent="0.15">
      <c r="A123" s="144"/>
      <c r="B123" s="144"/>
      <c r="C123" s="145"/>
      <c r="D123" s="145"/>
      <c r="E123" s="148"/>
      <c r="F123" s="155"/>
      <c r="G123" s="144"/>
      <c r="H123" s="144"/>
      <c r="I123" s="144"/>
      <c r="J123" s="145"/>
      <c r="K123" s="145"/>
      <c r="L123" s="148"/>
      <c r="M123" s="155"/>
      <c r="N123" s="144"/>
      <c r="O123" s="144"/>
      <c r="P123" s="144"/>
      <c r="Q123" s="145"/>
      <c r="R123" s="145"/>
      <c r="S123" s="154"/>
      <c r="T123" s="155"/>
      <c r="U123" s="144"/>
      <c r="V123" s="144"/>
    </row>
    <row r="124" spans="1:22" ht="14" x14ac:dyDescent="0.15">
      <c r="A124" s="144"/>
      <c r="B124" s="144"/>
      <c r="C124" s="145"/>
      <c r="D124" s="145"/>
      <c r="E124" s="148"/>
      <c r="F124" s="155"/>
      <c r="G124" s="144"/>
      <c r="H124" s="144"/>
      <c r="I124" s="144"/>
      <c r="J124" s="145"/>
      <c r="K124" s="145"/>
      <c r="L124" s="148"/>
      <c r="M124" s="155"/>
      <c r="N124" s="144"/>
      <c r="O124" s="144"/>
      <c r="P124" s="144"/>
      <c r="Q124" s="145"/>
      <c r="R124" s="145"/>
      <c r="S124" s="154"/>
      <c r="T124" s="155"/>
      <c r="U124" s="144"/>
      <c r="V124" s="144"/>
    </row>
    <row r="125" spans="1:22" ht="14" x14ac:dyDescent="0.15">
      <c r="A125" s="144"/>
      <c r="B125" s="144"/>
      <c r="C125" s="145"/>
      <c r="D125" s="145"/>
      <c r="E125" s="148"/>
      <c r="F125" s="155"/>
      <c r="G125" s="144"/>
      <c r="H125" s="144"/>
      <c r="I125" s="144"/>
      <c r="J125" s="145"/>
      <c r="K125" s="145"/>
      <c r="L125" s="148"/>
      <c r="M125" s="155"/>
      <c r="N125" s="144"/>
      <c r="O125" s="144"/>
      <c r="P125" s="144"/>
      <c r="Q125" s="145"/>
      <c r="R125" s="145"/>
      <c r="S125" s="154"/>
      <c r="T125" s="155"/>
      <c r="U125" s="144"/>
      <c r="V125" s="144"/>
    </row>
    <row r="126" spans="1:22" ht="14" x14ac:dyDescent="0.15">
      <c r="A126" s="144"/>
      <c r="B126" s="144"/>
      <c r="C126" s="145"/>
      <c r="D126" s="145"/>
      <c r="E126" s="148"/>
      <c r="F126" s="155"/>
      <c r="G126" s="144"/>
      <c r="H126" s="144"/>
      <c r="I126" s="144"/>
      <c r="J126" s="145"/>
      <c r="K126" s="145"/>
      <c r="L126" s="148"/>
      <c r="M126" s="155"/>
      <c r="N126" s="144"/>
      <c r="O126" s="144"/>
      <c r="P126" s="144"/>
      <c r="Q126" s="145"/>
      <c r="R126" s="145"/>
      <c r="S126" s="154"/>
      <c r="T126" s="155"/>
      <c r="U126" s="144"/>
      <c r="V126" s="144"/>
    </row>
    <row r="127" spans="1:22" ht="14" x14ac:dyDescent="0.15">
      <c r="A127" s="144"/>
      <c r="B127" s="144"/>
      <c r="C127" s="145"/>
      <c r="D127" s="145"/>
      <c r="E127" s="148"/>
      <c r="F127" s="155"/>
      <c r="G127" s="144"/>
      <c r="H127" s="144"/>
      <c r="I127" s="144"/>
      <c r="J127" s="145"/>
      <c r="K127" s="145"/>
      <c r="L127" s="148"/>
      <c r="M127" s="155"/>
      <c r="N127" s="144"/>
      <c r="O127" s="144"/>
      <c r="P127" s="144"/>
      <c r="Q127" s="145"/>
      <c r="R127" s="145"/>
      <c r="S127" s="154"/>
      <c r="T127" s="155"/>
      <c r="U127" s="144"/>
      <c r="V127" s="144"/>
    </row>
    <row r="128" spans="1:22" ht="14" x14ac:dyDescent="0.15">
      <c r="A128" s="144"/>
      <c r="B128" s="144"/>
      <c r="C128" s="145"/>
      <c r="D128" s="145"/>
      <c r="E128" s="148"/>
      <c r="F128" s="155"/>
      <c r="G128" s="144"/>
      <c r="H128" s="144"/>
      <c r="I128" s="144"/>
      <c r="J128" s="145"/>
      <c r="K128" s="145"/>
      <c r="L128" s="148"/>
      <c r="M128" s="155"/>
      <c r="N128" s="144"/>
      <c r="O128" s="144"/>
      <c r="P128" s="144"/>
      <c r="Q128" s="145"/>
      <c r="R128" s="145"/>
      <c r="S128" s="154"/>
      <c r="T128" s="155"/>
      <c r="U128" s="144"/>
      <c r="V128" s="144"/>
    </row>
    <row r="129" spans="1:22" ht="14" x14ac:dyDescent="0.15">
      <c r="A129" s="144"/>
      <c r="B129" s="144"/>
      <c r="C129" s="145"/>
      <c r="D129" s="145"/>
      <c r="E129" s="148"/>
      <c r="F129" s="155"/>
      <c r="G129" s="144"/>
      <c r="H129" s="144"/>
      <c r="I129" s="144"/>
      <c r="J129" s="145"/>
      <c r="K129" s="145"/>
      <c r="L129" s="148"/>
      <c r="M129" s="155"/>
      <c r="N129" s="144"/>
      <c r="O129" s="144"/>
      <c r="P129" s="144"/>
      <c r="Q129" s="145"/>
      <c r="R129" s="145"/>
      <c r="S129" s="154"/>
      <c r="T129" s="155"/>
      <c r="U129" s="144"/>
      <c r="V129" s="144"/>
    </row>
    <row r="130" spans="1:22" ht="14" x14ac:dyDescent="0.15">
      <c r="A130" s="144"/>
      <c r="B130" s="144"/>
      <c r="C130" s="145"/>
      <c r="D130" s="145"/>
      <c r="E130" s="148"/>
      <c r="F130" s="155"/>
      <c r="G130" s="144"/>
      <c r="H130" s="144"/>
      <c r="I130" s="144"/>
      <c r="J130" s="145"/>
      <c r="K130" s="145"/>
      <c r="L130" s="148"/>
      <c r="M130" s="155"/>
      <c r="N130" s="144"/>
      <c r="O130" s="144"/>
      <c r="P130" s="144"/>
      <c r="Q130" s="145"/>
      <c r="R130" s="145"/>
      <c r="S130" s="154"/>
      <c r="T130" s="155"/>
      <c r="U130" s="144"/>
      <c r="V130" s="144"/>
    </row>
    <row r="131" spans="1:22" ht="14" x14ac:dyDescent="0.15">
      <c r="A131" s="144"/>
      <c r="B131" s="144"/>
      <c r="C131" s="145"/>
      <c r="D131" s="145"/>
      <c r="E131" s="148"/>
      <c r="F131" s="155"/>
      <c r="G131" s="144"/>
      <c r="H131" s="144"/>
      <c r="I131" s="144"/>
      <c r="J131" s="145"/>
      <c r="K131" s="145"/>
      <c r="L131" s="148"/>
      <c r="M131" s="155"/>
      <c r="N131" s="144"/>
      <c r="O131" s="144"/>
      <c r="P131" s="144"/>
      <c r="Q131" s="145"/>
      <c r="R131" s="145"/>
      <c r="S131" s="154"/>
      <c r="T131" s="155"/>
      <c r="U131" s="144"/>
      <c r="V131" s="144"/>
    </row>
    <row r="132" spans="1:22" ht="14" x14ac:dyDescent="0.15">
      <c r="A132" s="144"/>
      <c r="B132" s="144"/>
      <c r="C132" s="145"/>
      <c r="D132" s="145"/>
      <c r="E132" s="148"/>
      <c r="F132" s="155"/>
      <c r="G132" s="144"/>
      <c r="H132" s="144"/>
      <c r="I132" s="144"/>
      <c r="J132" s="145"/>
      <c r="K132" s="145"/>
      <c r="L132" s="148"/>
      <c r="M132" s="155"/>
      <c r="N132" s="144"/>
      <c r="O132" s="144"/>
      <c r="P132" s="144"/>
      <c r="Q132" s="145"/>
      <c r="R132" s="145"/>
      <c r="S132" s="154"/>
      <c r="T132" s="155"/>
      <c r="U132" s="144"/>
      <c r="V132" s="144"/>
    </row>
    <row r="133" spans="1:22" ht="14" x14ac:dyDescent="0.15">
      <c r="A133" s="144"/>
      <c r="B133" s="144"/>
      <c r="C133" s="145"/>
      <c r="D133" s="145"/>
      <c r="E133" s="148"/>
      <c r="F133" s="155"/>
      <c r="G133" s="144"/>
      <c r="H133" s="144"/>
      <c r="I133" s="144"/>
      <c r="J133" s="145"/>
      <c r="K133" s="145"/>
      <c r="L133" s="148"/>
      <c r="M133" s="155"/>
      <c r="N133" s="144"/>
      <c r="O133" s="144"/>
      <c r="P133" s="144"/>
      <c r="Q133" s="145"/>
      <c r="R133" s="145"/>
      <c r="S133" s="154"/>
      <c r="T133" s="155"/>
      <c r="U133" s="144"/>
      <c r="V133" s="144"/>
    </row>
    <row r="134" spans="1:22" ht="14" x14ac:dyDescent="0.15">
      <c r="A134" s="144"/>
      <c r="B134" s="144"/>
      <c r="C134" s="145"/>
      <c r="D134" s="145"/>
      <c r="E134" s="148"/>
      <c r="F134" s="155"/>
      <c r="G134" s="144"/>
      <c r="H134" s="144"/>
      <c r="I134" s="144"/>
      <c r="J134" s="145"/>
      <c r="K134" s="145"/>
      <c r="L134" s="148"/>
      <c r="M134" s="155"/>
      <c r="N134" s="144"/>
      <c r="O134" s="144"/>
      <c r="P134" s="144"/>
      <c r="Q134" s="145"/>
      <c r="R134" s="145"/>
      <c r="S134" s="154"/>
      <c r="T134" s="155"/>
      <c r="U134" s="144"/>
      <c r="V134" s="144"/>
    </row>
    <row r="135" spans="1:22" ht="14" x14ac:dyDescent="0.15">
      <c r="A135" s="144"/>
      <c r="B135" s="144"/>
      <c r="C135" s="145"/>
      <c r="D135" s="145"/>
      <c r="E135" s="148"/>
      <c r="F135" s="155"/>
      <c r="G135" s="144"/>
      <c r="H135" s="144"/>
      <c r="I135" s="144"/>
      <c r="J135" s="145"/>
      <c r="K135" s="145"/>
      <c r="L135" s="148"/>
      <c r="M135" s="155"/>
      <c r="N135" s="144"/>
      <c r="O135" s="144"/>
      <c r="P135" s="144"/>
      <c r="Q135" s="145"/>
      <c r="R135" s="145"/>
      <c r="S135" s="154"/>
      <c r="T135" s="155"/>
      <c r="U135" s="144"/>
      <c r="V135" s="144"/>
    </row>
    <row r="136" spans="1:22" ht="14" x14ac:dyDescent="0.15">
      <c r="A136" s="144"/>
      <c r="B136" s="144"/>
      <c r="C136" s="145"/>
      <c r="D136" s="145"/>
      <c r="E136" s="148"/>
      <c r="F136" s="155"/>
      <c r="G136" s="144"/>
      <c r="H136" s="144"/>
      <c r="I136" s="144"/>
      <c r="J136" s="145"/>
      <c r="K136" s="145"/>
      <c r="L136" s="148"/>
      <c r="M136" s="155"/>
      <c r="N136" s="144"/>
      <c r="O136" s="144"/>
      <c r="P136" s="144"/>
      <c r="Q136" s="145"/>
      <c r="R136" s="145"/>
      <c r="S136" s="154"/>
      <c r="T136" s="155"/>
      <c r="U136" s="144"/>
      <c r="V136" s="144"/>
    </row>
    <row r="137" spans="1:22" ht="14" x14ac:dyDescent="0.15">
      <c r="A137" s="144"/>
      <c r="B137" s="144"/>
      <c r="C137" s="145"/>
      <c r="D137" s="145"/>
      <c r="E137" s="148"/>
      <c r="F137" s="155"/>
      <c r="G137" s="144"/>
      <c r="H137" s="144"/>
      <c r="I137" s="144"/>
      <c r="J137" s="145"/>
      <c r="K137" s="145"/>
      <c r="L137" s="148"/>
      <c r="M137" s="155"/>
      <c r="N137" s="144"/>
      <c r="O137" s="144"/>
      <c r="P137" s="144"/>
      <c r="Q137" s="145"/>
      <c r="R137" s="145"/>
      <c r="S137" s="154"/>
      <c r="T137" s="155"/>
      <c r="U137" s="144"/>
      <c r="V137" s="144"/>
    </row>
    <row r="138" spans="1:22" ht="14" x14ac:dyDescent="0.15">
      <c r="A138" s="144"/>
      <c r="B138" s="144"/>
      <c r="C138" s="145"/>
      <c r="D138" s="145"/>
      <c r="E138" s="148"/>
      <c r="F138" s="155"/>
      <c r="G138" s="144"/>
      <c r="H138" s="144"/>
      <c r="I138" s="144"/>
      <c r="J138" s="145"/>
      <c r="K138" s="145"/>
      <c r="L138" s="148"/>
      <c r="M138" s="155"/>
      <c r="N138" s="144"/>
      <c r="O138" s="144"/>
      <c r="P138" s="144"/>
      <c r="Q138" s="145"/>
      <c r="R138" s="145"/>
      <c r="S138" s="154"/>
      <c r="T138" s="155"/>
      <c r="U138" s="144"/>
      <c r="V138" s="144"/>
    </row>
    <row r="139" spans="1:22" ht="14" x14ac:dyDescent="0.15">
      <c r="A139" s="144"/>
      <c r="B139" s="144"/>
      <c r="C139" s="145"/>
      <c r="D139" s="145"/>
      <c r="E139" s="148"/>
      <c r="F139" s="155"/>
      <c r="G139" s="144"/>
      <c r="H139" s="144"/>
      <c r="I139" s="144"/>
      <c r="J139" s="145"/>
      <c r="K139" s="145"/>
      <c r="L139" s="148"/>
      <c r="M139" s="155"/>
      <c r="N139" s="144"/>
      <c r="O139" s="144"/>
      <c r="P139" s="144"/>
      <c r="Q139" s="145"/>
      <c r="R139" s="145"/>
      <c r="S139" s="154"/>
      <c r="T139" s="155"/>
      <c r="U139" s="144"/>
      <c r="V139" s="144"/>
    </row>
    <row r="140" spans="1:22" ht="14" x14ac:dyDescent="0.15">
      <c r="A140" s="144"/>
      <c r="B140" s="144"/>
      <c r="C140" s="145"/>
      <c r="D140" s="145"/>
      <c r="E140" s="148"/>
      <c r="F140" s="155"/>
      <c r="G140" s="144"/>
      <c r="H140" s="144"/>
      <c r="I140" s="144"/>
      <c r="J140" s="145"/>
      <c r="K140" s="145"/>
      <c r="L140" s="148"/>
      <c r="M140" s="155"/>
      <c r="N140" s="144"/>
      <c r="O140" s="144"/>
      <c r="P140" s="144"/>
      <c r="Q140" s="145"/>
      <c r="R140" s="145"/>
      <c r="S140" s="154"/>
      <c r="T140" s="155"/>
      <c r="U140" s="144"/>
      <c r="V140" s="144"/>
    </row>
    <row r="141" spans="1:22" ht="14" x14ac:dyDescent="0.15">
      <c r="A141" s="144"/>
      <c r="B141" s="144"/>
      <c r="C141" s="145"/>
      <c r="D141" s="145"/>
      <c r="E141" s="148"/>
      <c r="F141" s="155"/>
      <c r="G141" s="144"/>
      <c r="H141" s="144"/>
      <c r="I141" s="144"/>
      <c r="J141" s="145"/>
      <c r="K141" s="145"/>
      <c r="L141" s="148"/>
      <c r="M141" s="155"/>
      <c r="N141" s="144"/>
      <c r="O141" s="144"/>
      <c r="P141" s="144"/>
      <c r="Q141" s="145"/>
      <c r="R141" s="145"/>
      <c r="S141" s="154"/>
      <c r="T141" s="155"/>
      <c r="U141" s="144"/>
      <c r="V141" s="144"/>
    </row>
    <row r="142" spans="1:22" ht="14" x14ac:dyDescent="0.15">
      <c r="A142" s="144"/>
      <c r="B142" s="144"/>
      <c r="C142" s="145"/>
      <c r="D142" s="145"/>
      <c r="E142" s="148"/>
      <c r="F142" s="155"/>
      <c r="G142" s="144"/>
      <c r="H142" s="144"/>
      <c r="I142" s="144"/>
      <c r="J142" s="145"/>
      <c r="K142" s="145"/>
      <c r="L142" s="148"/>
      <c r="M142" s="155"/>
      <c r="N142" s="144"/>
      <c r="O142" s="144"/>
      <c r="P142" s="144"/>
      <c r="Q142" s="145"/>
      <c r="R142" s="145"/>
      <c r="S142" s="154"/>
      <c r="T142" s="155"/>
      <c r="U142" s="144"/>
      <c r="V142" s="144"/>
    </row>
    <row r="143" spans="1:22" ht="14" x14ac:dyDescent="0.15">
      <c r="A143" s="144"/>
      <c r="B143" s="144"/>
      <c r="C143" s="145"/>
      <c r="D143" s="145"/>
      <c r="E143" s="148"/>
      <c r="F143" s="155"/>
      <c r="G143" s="144"/>
      <c r="H143" s="144"/>
      <c r="I143" s="144"/>
      <c r="J143" s="145"/>
      <c r="K143" s="145"/>
      <c r="L143" s="148"/>
      <c r="M143" s="155"/>
      <c r="N143" s="144"/>
      <c r="O143" s="144"/>
      <c r="P143" s="144"/>
      <c r="Q143" s="145"/>
      <c r="R143" s="145"/>
      <c r="S143" s="154"/>
      <c r="T143" s="155"/>
      <c r="U143" s="144"/>
      <c r="V143" s="144"/>
    </row>
    <row r="144" spans="1:22" ht="14" x14ac:dyDescent="0.15">
      <c r="A144" s="144"/>
      <c r="B144" s="144"/>
      <c r="C144" s="145"/>
      <c r="D144" s="145"/>
      <c r="E144" s="148"/>
      <c r="F144" s="155"/>
      <c r="G144" s="144"/>
      <c r="H144" s="144"/>
      <c r="I144" s="144"/>
      <c r="J144" s="145"/>
      <c r="K144" s="145"/>
      <c r="L144" s="148"/>
      <c r="M144" s="155"/>
      <c r="N144" s="144"/>
      <c r="O144" s="144"/>
      <c r="P144" s="144"/>
      <c r="Q144" s="145"/>
      <c r="R144" s="145"/>
      <c r="S144" s="154"/>
      <c r="T144" s="155"/>
      <c r="U144" s="144"/>
      <c r="V144" s="144"/>
    </row>
    <row r="145" spans="1:22" ht="14" x14ac:dyDescent="0.15">
      <c r="A145" s="144"/>
      <c r="B145" s="144"/>
      <c r="C145" s="145"/>
      <c r="D145" s="145"/>
      <c r="E145" s="148"/>
      <c r="F145" s="155"/>
      <c r="G145" s="144"/>
      <c r="H145" s="144"/>
      <c r="I145" s="144"/>
      <c r="J145" s="145"/>
      <c r="K145" s="145"/>
      <c r="L145" s="148"/>
      <c r="M145" s="155"/>
      <c r="N145" s="144"/>
      <c r="O145" s="144"/>
      <c r="P145" s="144"/>
      <c r="Q145" s="145"/>
      <c r="R145" s="145"/>
      <c r="S145" s="154"/>
      <c r="T145" s="155"/>
      <c r="U145" s="144"/>
      <c r="V145" s="144"/>
    </row>
    <row r="146" spans="1:22" ht="14" x14ac:dyDescent="0.15">
      <c r="A146" s="144"/>
      <c r="B146" s="144"/>
      <c r="C146" s="145"/>
      <c r="D146" s="145"/>
      <c r="E146" s="148"/>
      <c r="F146" s="155"/>
      <c r="G146" s="144"/>
      <c r="H146" s="144"/>
      <c r="I146" s="144"/>
      <c r="J146" s="145"/>
      <c r="K146" s="145"/>
      <c r="L146" s="148"/>
      <c r="M146" s="155"/>
      <c r="N146" s="144"/>
      <c r="O146" s="144"/>
      <c r="P146" s="144"/>
      <c r="Q146" s="145"/>
      <c r="R146" s="145"/>
      <c r="S146" s="154"/>
      <c r="T146" s="155"/>
      <c r="U146" s="144"/>
      <c r="V146" s="144"/>
    </row>
    <row r="147" spans="1:22" ht="14" x14ac:dyDescent="0.15">
      <c r="A147" s="144"/>
      <c r="B147" s="144"/>
      <c r="C147" s="145"/>
      <c r="D147" s="145"/>
      <c r="E147" s="148"/>
      <c r="F147" s="155"/>
      <c r="G147" s="144"/>
      <c r="H147" s="144"/>
      <c r="I147" s="144"/>
      <c r="J147" s="145"/>
      <c r="K147" s="145"/>
      <c r="L147" s="148"/>
      <c r="M147" s="155"/>
      <c r="N147" s="144"/>
      <c r="O147" s="144"/>
      <c r="P147" s="144"/>
      <c r="Q147" s="145"/>
      <c r="R147" s="145"/>
      <c r="S147" s="154"/>
      <c r="T147" s="155"/>
      <c r="U147" s="144"/>
      <c r="V147" s="144"/>
    </row>
    <row r="148" spans="1:22" ht="14" x14ac:dyDescent="0.15">
      <c r="A148" s="144"/>
      <c r="B148" s="144"/>
      <c r="C148" s="145"/>
      <c r="D148" s="145"/>
      <c r="E148" s="148"/>
      <c r="F148" s="155"/>
      <c r="G148" s="144"/>
      <c r="H148" s="144"/>
      <c r="I148" s="144"/>
      <c r="J148" s="145"/>
      <c r="K148" s="145"/>
      <c r="L148" s="148"/>
      <c r="M148" s="155"/>
      <c r="N148" s="144"/>
      <c r="O148" s="144"/>
      <c r="P148" s="144"/>
      <c r="Q148" s="145"/>
      <c r="R148" s="145"/>
      <c r="S148" s="154"/>
      <c r="T148" s="155"/>
      <c r="U148" s="144"/>
      <c r="V148" s="144"/>
    </row>
    <row r="149" spans="1:22" ht="14" x14ac:dyDescent="0.15">
      <c r="A149" s="144"/>
      <c r="B149" s="144"/>
      <c r="C149" s="145"/>
      <c r="D149" s="145"/>
      <c r="E149" s="148"/>
      <c r="F149" s="155"/>
      <c r="G149" s="144"/>
      <c r="H149" s="144"/>
      <c r="I149" s="144"/>
      <c r="J149" s="145"/>
      <c r="K149" s="145"/>
      <c r="L149" s="148"/>
      <c r="M149" s="155"/>
      <c r="N149" s="144"/>
      <c r="O149" s="144"/>
      <c r="P149" s="144"/>
      <c r="Q149" s="145"/>
      <c r="R149" s="145"/>
      <c r="S149" s="154"/>
      <c r="T149" s="155"/>
      <c r="U149" s="144"/>
      <c r="V149" s="144"/>
    </row>
    <row r="150" spans="1:22" ht="14" x14ac:dyDescent="0.15">
      <c r="A150" s="144"/>
      <c r="B150" s="144"/>
      <c r="C150" s="145"/>
      <c r="D150" s="145"/>
      <c r="E150" s="148"/>
      <c r="F150" s="155"/>
      <c r="G150" s="144"/>
      <c r="H150" s="144"/>
      <c r="I150" s="144"/>
      <c r="J150" s="145"/>
      <c r="K150" s="145"/>
      <c r="L150" s="148"/>
      <c r="M150" s="155"/>
      <c r="N150" s="144"/>
      <c r="O150" s="144"/>
      <c r="P150" s="144"/>
      <c r="Q150" s="145"/>
      <c r="R150" s="145"/>
      <c r="S150" s="154"/>
      <c r="T150" s="155"/>
      <c r="U150" s="144"/>
      <c r="V150" s="144"/>
    </row>
    <row r="151" spans="1:22" ht="14" x14ac:dyDescent="0.15">
      <c r="A151" s="144"/>
      <c r="B151" s="144"/>
      <c r="C151" s="145"/>
      <c r="D151" s="145"/>
      <c r="E151" s="148"/>
      <c r="F151" s="155"/>
      <c r="G151" s="144"/>
      <c r="H151" s="144"/>
      <c r="I151" s="144"/>
      <c r="J151" s="145"/>
      <c r="K151" s="145"/>
      <c r="L151" s="148"/>
      <c r="M151" s="155"/>
      <c r="N151" s="144"/>
      <c r="O151" s="144"/>
      <c r="P151" s="144"/>
      <c r="Q151" s="145"/>
      <c r="R151" s="145"/>
      <c r="S151" s="154"/>
      <c r="T151" s="155"/>
      <c r="U151" s="144"/>
      <c r="V151" s="144"/>
    </row>
    <row r="152" spans="1:22" ht="14" x14ac:dyDescent="0.15">
      <c r="A152" s="144"/>
      <c r="B152" s="144"/>
      <c r="C152" s="145"/>
      <c r="D152" s="145"/>
      <c r="E152" s="148"/>
      <c r="F152" s="155"/>
      <c r="G152" s="144"/>
      <c r="H152" s="144"/>
      <c r="I152" s="144"/>
      <c r="J152" s="145"/>
      <c r="K152" s="145"/>
      <c r="L152" s="148"/>
      <c r="M152" s="155"/>
      <c r="N152" s="144"/>
      <c r="O152" s="144"/>
      <c r="P152" s="144"/>
      <c r="Q152" s="145"/>
      <c r="R152" s="145"/>
      <c r="S152" s="154"/>
      <c r="T152" s="155"/>
      <c r="U152" s="144"/>
      <c r="V152" s="144"/>
    </row>
    <row r="153" spans="1:22" ht="14" x14ac:dyDescent="0.15">
      <c r="A153" s="144"/>
      <c r="B153" s="144"/>
      <c r="C153" s="145"/>
      <c r="D153" s="145"/>
      <c r="E153" s="148"/>
      <c r="F153" s="155"/>
      <c r="G153" s="144"/>
      <c r="H153" s="144"/>
      <c r="I153" s="144"/>
      <c r="J153" s="145"/>
      <c r="K153" s="145"/>
      <c r="L153" s="148"/>
      <c r="M153" s="155"/>
      <c r="N153" s="144"/>
      <c r="O153" s="144"/>
      <c r="P153" s="144"/>
      <c r="Q153" s="145"/>
      <c r="R153" s="145"/>
      <c r="S153" s="154"/>
      <c r="T153" s="155"/>
      <c r="U153" s="144"/>
      <c r="V153" s="144"/>
    </row>
    <row r="154" spans="1:22" ht="14" x14ac:dyDescent="0.15">
      <c r="A154" s="144"/>
      <c r="B154" s="144"/>
      <c r="C154" s="145"/>
      <c r="D154" s="145"/>
      <c r="E154" s="148"/>
      <c r="F154" s="155"/>
      <c r="G154" s="144"/>
      <c r="H154" s="144"/>
      <c r="I154" s="144"/>
      <c r="J154" s="145"/>
      <c r="K154" s="145"/>
      <c r="L154" s="148"/>
      <c r="M154" s="155"/>
      <c r="N154" s="144"/>
      <c r="O154" s="144"/>
      <c r="P154" s="144"/>
      <c r="Q154" s="145"/>
      <c r="R154" s="145"/>
      <c r="S154" s="154"/>
      <c r="T154" s="155"/>
      <c r="U154" s="144"/>
      <c r="V154" s="144"/>
    </row>
    <row r="155" spans="1:22" ht="14" x14ac:dyDescent="0.15">
      <c r="A155" s="144"/>
      <c r="B155" s="144"/>
      <c r="C155" s="145"/>
      <c r="D155" s="145"/>
      <c r="E155" s="148"/>
      <c r="F155" s="155"/>
      <c r="G155" s="144"/>
      <c r="H155" s="144"/>
      <c r="I155" s="144"/>
      <c r="J155" s="145"/>
      <c r="K155" s="145"/>
      <c r="L155" s="148"/>
      <c r="M155" s="155"/>
      <c r="N155" s="144"/>
      <c r="O155" s="144"/>
      <c r="P155" s="144"/>
      <c r="Q155" s="145"/>
      <c r="R155" s="145"/>
      <c r="S155" s="154"/>
      <c r="T155" s="155"/>
      <c r="U155" s="144"/>
      <c r="V155" s="144"/>
    </row>
    <row r="156" spans="1:22" ht="14" x14ac:dyDescent="0.15">
      <c r="A156" s="144"/>
      <c r="B156" s="144"/>
      <c r="C156" s="145"/>
      <c r="D156" s="145"/>
      <c r="E156" s="148"/>
      <c r="F156" s="155"/>
      <c r="G156" s="144"/>
      <c r="H156" s="144"/>
      <c r="I156" s="144"/>
      <c r="J156" s="145"/>
      <c r="K156" s="145"/>
      <c r="L156" s="148"/>
      <c r="M156" s="155"/>
      <c r="N156" s="144"/>
      <c r="O156" s="144"/>
      <c r="P156" s="144"/>
      <c r="Q156" s="145"/>
      <c r="R156" s="145"/>
      <c r="S156" s="154"/>
      <c r="T156" s="155"/>
      <c r="U156" s="144"/>
      <c r="V156" s="144"/>
    </row>
    <row r="157" spans="1:22" ht="14" x14ac:dyDescent="0.15">
      <c r="A157" s="144"/>
      <c r="B157" s="144"/>
      <c r="C157" s="145"/>
      <c r="D157" s="145"/>
      <c r="E157" s="148"/>
      <c r="F157" s="155"/>
      <c r="G157" s="144"/>
      <c r="H157" s="144"/>
      <c r="I157" s="144"/>
      <c r="J157" s="145"/>
      <c r="K157" s="145"/>
      <c r="L157" s="148"/>
      <c r="M157" s="155"/>
      <c r="N157" s="144"/>
      <c r="O157" s="144"/>
      <c r="P157" s="144"/>
      <c r="Q157" s="145"/>
      <c r="R157" s="145"/>
      <c r="S157" s="154"/>
      <c r="T157" s="155"/>
      <c r="U157" s="144"/>
      <c r="V157" s="144"/>
    </row>
    <row r="158" spans="1:22" ht="14" x14ac:dyDescent="0.15">
      <c r="A158" s="144"/>
      <c r="B158" s="144"/>
      <c r="C158" s="145"/>
      <c r="D158" s="145"/>
      <c r="E158" s="148"/>
      <c r="F158" s="155"/>
      <c r="G158" s="144"/>
      <c r="H158" s="144"/>
      <c r="I158" s="144"/>
      <c r="J158" s="145"/>
      <c r="K158" s="145"/>
      <c r="L158" s="148"/>
      <c r="M158" s="155"/>
      <c r="N158" s="144"/>
      <c r="O158" s="144"/>
      <c r="P158" s="144"/>
      <c r="Q158" s="145"/>
      <c r="R158" s="145"/>
      <c r="S158" s="154"/>
      <c r="T158" s="155"/>
      <c r="U158" s="144"/>
      <c r="V158" s="144"/>
    </row>
    <row r="159" spans="1:22" ht="14" x14ac:dyDescent="0.15">
      <c r="A159" s="144"/>
      <c r="B159" s="144"/>
      <c r="C159" s="145"/>
      <c r="D159" s="145"/>
      <c r="E159" s="148"/>
      <c r="F159" s="155"/>
      <c r="G159" s="144"/>
      <c r="H159" s="144"/>
      <c r="I159" s="144"/>
      <c r="J159" s="145"/>
      <c r="K159" s="145"/>
      <c r="L159" s="148"/>
      <c r="M159" s="155"/>
      <c r="N159" s="144"/>
      <c r="O159" s="144"/>
      <c r="P159" s="144"/>
      <c r="Q159" s="145"/>
      <c r="R159" s="145"/>
      <c r="S159" s="154"/>
      <c r="T159" s="155"/>
      <c r="U159" s="144"/>
      <c r="V159" s="144"/>
    </row>
    <row r="160" spans="1:22" ht="14" x14ac:dyDescent="0.15">
      <c r="A160" s="144"/>
      <c r="B160" s="144"/>
      <c r="C160" s="145"/>
      <c r="D160" s="145"/>
      <c r="E160" s="148"/>
      <c r="F160" s="155"/>
      <c r="G160" s="144"/>
      <c r="H160" s="144"/>
      <c r="I160" s="144"/>
      <c r="J160" s="145"/>
      <c r="K160" s="145"/>
      <c r="L160" s="148"/>
      <c r="M160" s="155"/>
      <c r="N160" s="144"/>
      <c r="O160" s="144"/>
      <c r="P160" s="144"/>
      <c r="Q160" s="145"/>
      <c r="R160" s="145"/>
      <c r="S160" s="154"/>
      <c r="T160" s="155"/>
      <c r="U160" s="144"/>
      <c r="V160" s="144"/>
    </row>
    <row r="161" spans="1:22" ht="14" x14ac:dyDescent="0.15">
      <c r="A161" s="144"/>
      <c r="B161" s="144"/>
      <c r="C161" s="145"/>
      <c r="D161" s="145"/>
      <c r="E161" s="148"/>
      <c r="F161" s="155"/>
      <c r="G161" s="144"/>
      <c r="H161" s="144"/>
      <c r="I161" s="144"/>
      <c r="J161" s="145"/>
      <c r="K161" s="145"/>
      <c r="L161" s="148"/>
      <c r="M161" s="155"/>
      <c r="N161" s="144"/>
      <c r="O161" s="144"/>
      <c r="P161" s="144"/>
      <c r="Q161" s="145"/>
      <c r="R161" s="145"/>
      <c r="S161" s="154"/>
      <c r="T161" s="155"/>
      <c r="U161" s="144"/>
      <c r="V161" s="144"/>
    </row>
    <row r="162" spans="1:22" ht="14" x14ac:dyDescent="0.15">
      <c r="A162" s="144"/>
      <c r="B162" s="144"/>
      <c r="C162" s="145"/>
      <c r="D162" s="145"/>
      <c r="E162" s="148"/>
      <c r="F162" s="155"/>
      <c r="G162" s="144"/>
      <c r="H162" s="144"/>
      <c r="I162" s="144"/>
      <c r="J162" s="145"/>
      <c r="K162" s="145"/>
      <c r="L162" s="148"/>
      <c r="M162" s="155"/>
      <c r="N162" s="144"/>
      <c r="O162" s="144"/>
      <c r="P162" s="144"/>
      <c r="Q162" s="145"/>
      <c r="R162" s="145"/>
      <c r="S162" s="154"/>
      <c r="T162" s="155"/>
      <c r="U162" s="144"/>
      <c r="V162" s="144"/>
    </row>
    <row r="163" spans="1:22" ht="14" x14ac:dyDescent="0.15">
      <c r="A163" s="144"/>
      <c r="B163" s="144"/>
      <c r="C163" s="145"/>
      <c r="D163" s="145"/>
      <c r="E163" s="148"/>
      <c r="F163" s="155"/>
      <c r="G163" s="144"/>
      <c r="H163" s="144"/>
      <c r="I163" s="144"/>
      <c r="J163" s="145"/>
      <c r="K163" s="145"/>
      <c r="L163" s="148"/>
      <c r="M163" s="155"/>
      <c r="N163" s="144"/>
      <c r="O163" s="144"/>
      <c r="P163" s="144"/>
      <c r="Q163" s="145"/>
      <c r="R163" s="145"/>
      <c r="S163" s="154"/>
      <c r="T163" s="155"/>
      <c r="U163" s="144"/>
      <c r="V163" s="144"/>
    </row>
    <row r="164" spans="1:22" ht="14" x14ac:dyDescent="0.15">
      <c r="A164" s="144"/>
      <c r="B164" s="144"/>
      <c r="C164" s="145"/>
      <c r="D164" s="145"/>
      <c r="E164" s="148"/>
      <c r="F164" s="155"/>
      <c r="G164" s="144"/>
      <c r="H164" s="144"/>
      <c r="I164" s="144"/>
      <c r="J164" s="145"/>
      <c r="K164" s="145"/>
      <c r="L164" s="148"/>
      <c r="M164" s="155"/>
      <c r="N164" s="144"/>
      <c r="O164" s="144"/>
      <c r="P164" s="144"/>
      <c r="Q164" s="145"/>
      <c r="R164" s="145"/>
      <c r="S164" s="154"/>
      <c r="T164" s="155"/>
      <c r="U164" s="144"/>
      <c r="V164" s="144"/>
    </row>
    <row r="165" spans="1:22" ht="14" x14ac:dyDescent="0.15">
      <c r="A165" s="144"/>
      <c r="B165" s="144"/>
      <c r="C165" s="145"/>
      <c r="D165" s="145"/>
      <c r="E165" s="148"/>
      <c r="F165" s="155"/>
      <c r="G165" s="144"/>
      <c r="H165" s="144"/>
      <c r="I165" s="144"/>
      <c r="J165" s="145"/>
      <c r="K165" s="145"/>
      <c r="L165" s="148"/>
      <c r="M165" s="155"/>
      <c r="N165" s="144"/>
      <c r="O165" s="144"/>
      <c r="P165" s="144"/>
      <c r="Q165" s="145"/>
      <c r="R165" s="145"/>
      <c r="S165" s="154"/>
      <c r="T165" s="155"/>
      <c r="U165" s="144"/>
      <c r="V165" s="144"/>
    </row>
    <row r="166" spans="1:22" ht="14" x14ac:dyDescent="0.15">
      <c r="A166" s="144"/>
      <c r="B166" s="144"/>
      <c r="C166" s="145"/>
      <c r="D166" s="145"/>
      <c r="E166" s="148"/>
      <c r="F166" s="155"/>
      <c r="G166" s="144"/>
      <c r="H166" s="144"/>
      <c r="I166" s="144"/>
      <c r="J166" s="145"/>
      <c r="K166" s="145"/>
      <c r="L166" s="148"/>
      <c r="M166" s="155"/>
      <c r="N166" s="144"/>
      <c r="O166" s="144"/>
      <c r="P166" s="144"/>
      <c r="Q166" s="145"/>
      <c r="R166" s="145"/>
      <c r="S166" s="154"/>
      <c r="T166" s="155"/>
      <c r="U166" s="144"/>
      <c r="V166" s="144"/>
    </row>
    <row r="167" spans="1:22" ht="14" x14ac:dyDescent="0.15">
      <c r="A167" s="144"/>
      <c r="B167" s="144"/>
      <c r="C167" s="145"/>
      <c r="D167" s="145"/>
      <c r="E167" s="148"/>
      <c r="F167" s="155"/>
      <c r="G167" s="144"/>
      <c r="H167" s="144"/>
      <c r="I167" s="144"/>
      <c r="J167" s="145"/>
      <c r="K167" s="145"/>
      <c r="L167" s="148"/>
      <c r="M167" s="155"/>
      <c r="N167" s="144"/>
      <c r="O167" s="144"/>
      <c r="P167" s="144"/>
      <c r="Q167" s="145"/>
      <c r="R167" s="145"/>
      <c r="S167" s="154"/>
      <c r="T167" s="155"/>
      <c r="U167" s="144"/>
      <c r="V167" s="144"/>
    </row>
    <row r="168" spans="1:22" ht="14" x14ac:dyDescent="0.15">
      <c r="A168" s="144"/>
      <c r="B168" s="144"/>
      <c r="C168" s="145"/>
      <c r="D168" s="145"/>
      <c r="E168" s="148"/>
      <c r="F168" s="155"/>
      <c r="G168" s="144"/>
      <c r="H168" s="144"/>
      <c r="I168" s="144"/>
      <c r="J168" s="145"/>
      <c r="K168" s="145"/>
      <c r="L168" s="148"/>
      <c r="M168" s="155"/>
      <c r="N168" s="144"/>
      <c r="O168" s="144"/>
      <c r="P168" s="144"/>
      <c r="Q168" s="145"/>
      <c r="R168" s="145"/>
      <c r="S168" s="154"/>
      <c r="T168" s="155"/>
      <c r="U168" s="144"/>
      <c r="V168" s="144"/>
    </row>
    <row r="169" spans="1:22" ht="14" x14ac:dyDescent="0.15">
      <c r="A169" s="144"/>
      <c r="B169" s="144"/>
      <c r="C169" s="145"/>
      <c r="D169" s="145"/>
      <c r="E169" s="148"/>
      <c r="F169" s="155"/>
      <c r="G169" s="144"/>
      <c r="H169" s="144"/>
      <c r="I169" s="144"/>
      <c r="J169" s="145"/>
      <c r="K169" s="145"/>
      <c r="L169" s="148"/>
      <c r="M169" s="155"/>
      <c r="N169" s="144"/>
      <c r="O169" s="144"/>
      <c r="P169" s="144"/>
      <c r="Q169" s="145"/>
      <c r="R169" s="145"/>
      <c r="S169" s="154"/>
      <c r="T169" s="155"/>
      <c r="U169" s="144"/>
      <c r="V169" s="144"/>
    </row>
    <row r="170" spans="1:22" ht="14" x14ac:dyDescent="0.15">
      <c r="A170" s="144"/>
      <c r="B170" s="144"/>
      <c r="C170" s="145"/>
      <c r="D170" s="145"/>
      <c r="E170" s="148"/>
      <c r="F170" s="155"/>
      <c r="G170" s="144"/>
      <c r="H170" s="144"/>
      <c r="I170" s="144"/>
      <c r="J170" s="145"/>
      <c r="K170" s="145"/>
      <c r="L170" s="148"/>
      <c r="M170" s="155"/>
      <c r="N170" s="144"/>
      <c r="O170" s="144"/>
      <c r="P170" s="144"/>
      <c r="Q170" s="145"/>
      <c r="R170" s="145"/>
      <c r="S170" s="154"/>
      <c r="T170" s="155"/>
      <c r="U170" s="144"/>
      <c r="V170" s="144"/>
    </row>
    <row r="171" spans="1:22" ht="14" x14ac:dyDescent="0.15">
      <c r="A171" s="144"/>
      <c r="B171" s="144"/>
      <c r="C171" s="145"/>
      <c r="D171" s="145"/>
      <c r="E171" s="148"/>
      <c r="F171" s="155"/>
      <c r="G171" s="144"/>
      <c r="H171" s="144"/>
      <c r="I171" s="144"/>
      <c r="J171" s="145"/>
      <c r="K171" s="145"/>
      <c r="L171" s="148"/>
      <c r="M171" s="155"/>
      <c r="N171" s="144"/>
      <c r="O171" s="144"/>
      <c r="P171" s="144"/>
      <c r="Q171" s="145"/>
      <c r="R171" s="145"/>
      <c r="S171" s="154"/>
      <c r="T171" s="155"/>
      <c r="U171" s="144"/>
      <c r="V171" s="144"/>
    </row>
    <row r="172" spans="1:22" ht="14" x14ac:dyDescent="0.15">
      <c r="A172" s="144"/>
      <c r="B172" s="144"/>
      <c r="C172" s="145"/>
      <c r="D172" s="145"/>
      <c r="E172" s="148"/>
      <c r="F172" s="155"/>
      <c r="G172" s="144"/>
      <c r="H172" s="144"/>
      <c r="I172" s="144"/>
      <c r="J172" s="145"/>
      <c r="K172" s="145"/>
      <c r="L172" s="148"/>
      <c r="M172" s="155"/>
      <c r="N172" s="144"/>
      <c r="O172" s="144"/>
      <c r="P172" s="144"/>
      <c r="Q172" s="145"/>
      <c r="R172" s="145"/>
      <c r="S172" s="154"/>
      <c r="T172" s="155"/>
      <c r="U172" s="144"/>
      <c r="V172" s="144"/>
    </row>
    <row r="173" spans="1:22" ht="14" x14ac:dyDescent="0.15">
      <c r="A173" s="144"/>
      <c r="B173" s="144"/>
      <c r="C173" s="145"/>
      <c r="D173" s="145"/>
      <c r="E173" s="148"/>
      <c r="F173" s="155"/>
      <c r="G173" s="144"/>
      <c r="H173" s="144"/>
      <c r="I173" s="144"/>
      <c r="J173" s="145"/>
      <c r="K173" s="145"/>
      <c r="L173" s="148"/>
      <c r="M173" s="155"/>
      <c r="N173" s="144"/>
      <c r="O173" s="144"/>
      <c r="P173" s="144"/>
      <c r="Q173" s="145"/>
      <c r="R173" s="145"/>
      <c r="S173" s="154"/>
      <c r="T173" s="155"/>
      <c r="U173" s="144"/>
      <c r="V173" s="144"/>
    </row>
    <row r="174" spans="1:22" ht="14" x14ac:dyDescent="0.15">
      <c r="A174" s="144"/>
      <c r="B174" s="144"/>
      <c r="C174" s="145"/>
      <c r="D174" s="145"/>
      <c r="E174" s="148"/>
      <c r="F174" s="155"/>
      <c r="G174" s="144"/>
      <c r="H174" s="144"/>
      <c r="I174" s="144"/>
      <c r="J174" s="145"/>
      <c r="K174" s="145"/>
      <c r="L174" s="148"/>
      <c r="M174" s="155"/>
      <c r="N174" s="144"/>
      <c r="O174" s="144"/>
      <c r="P174" s="144"/>
      <c r="Q174" s="145"/>
      <c r="R174" s="145"/>
      <c r="S174" s="154"/>
      <c r="T174" s="155"/>
      <c r="U174" s="144"/>
      <c r="V174" s="144"/>
    </row>
    <row r="175" spans="1:22" ht="14" x14ac:dyDescent="0.15">
      <c r="A175" s="144"/>
      <c r="B175" s="144"/>
      <c r="C175" s="145"/>
      <c r="D175" s="145"/>
      <c r="E175" s="148"/>
      <c r="F175" s="155"/>
      <c r="G175" s="144"/>
      <c r="H175" s="144"/>
      <c r="I175" s="144"/>
      <c r="J175" s="145"/>
      <c r="K175" s="145"/>
      <c r="L175" s="148"/>
      <c r="M175" s="155"/>
      <c r="N175" s="144"/>
      <c r="O175" s="144"/>
      <c r="P175" s="144"/>
      <c r="Q175" s="145"/>
      <c r="R175" s="145"/>
      <c r="S175" s="154"/>
      <c r="T175" s="155"/>
      <c r="U175" s="144"/>
      <c r="V175" s="144"/>
    </row>
    <row r="176" spans="1:22" ht="14" x14ac:dyDescent="0.15">
      <c r="A176" s="144"/>
      <c r="B176" s="144"/>
      <c r="C176" s="145"/>
      <c r="D176" s="145"/>
      <c r="E176" s="148"/>
      <c r="F176" s="155"/>
      <c r="G176" s="144"/>
      <c r="H176" s="144"/>
      <c r="I176" s="144"/>
      <c r="J176" s="145"/>
      <c r="K176" s="145"/>
      <c r="L176" s="148"/>
      <c r="M176" s="155"/>
      <c r="N176" s="144"/>
      <c r="O176" s="144"/>
      <c r="P176" s="144"/>
      <c r="Q176" s="145"/>
      <c r="R176" s="145"/>
      <c r="S176" s="154"/>
      <c r="T176" s="155"/>
      <c r="U176" s="144"/>
      <c r="V176" s="144"/>
    </row>
    <row r="177" spans="1:22" ht="14" x14ac:dyDescent="0.15">
      <c r="A177" s="144"/>
      <c r="B177" s="144"/>
      <c r="C177" s="145"/>
      <c r="D177" s="145"/>
      <c r="E177" s="148"/>
      <c r="F177" s="155"/>
      <c r="G177" s="144"/>
      <c r="H177" s="144"/>
      <c r="I177" s="144"/>
      <c r="J177" s="145"/>
      <c r="K177" s="145"/>
      <c r="L177" s="148"/>
      <c r="M177" s="155"/>
      <c r="N177" s="144"/>
      <c r="O177" s="144"/>
      <c r="P177" s="144"/>
      <c r="Q177" s="145"/>
      <c r="R177" s="145"/>
      <c r="S177" s="154"/>
      <c r="T177" s="155"/>
      <c r="U177" s="144"/>
      <c r="V177" s="144"/>
    </row>
    <row r="178" spans="1:22" ht="14" x14ac:dyDescent="0.15">
      <c r="A178" s="144"/>
      <c r="B178" s="144"/>
      <c r="C178" s="145"/>
      <c r="D178" s="145"/>
      <c r="E178" s="148"/>
      <c r="F178" s="155"/>
      <c r="G178" s="144"/>
      <c r="H178" s="144"/>
      <c r="I178" s="144"/>
      <c r="J178" s="145"/>
      <c r="K178" s="145"/>
      <c r="L178" s="148"/>
      <c r="M178" s="155"/>
      <c r="N178" s="144"/>
      <c r="O178" s="144"/>
      <c r="P178" s="144"/>
      <c r="Q178" s="145"/>
      <c r="R178" s="145"/>
      <c r="S178" s="154"/>
      <c r="T178" s="155"/>
      <c r="U178" s="144"/>
      <c r="V178" s="144"/>
    </row>
    <row r="179" spans="1:22" ht="14" x14ac:dyDescent="0.15">
      <c r="A179" s="144"/>
      <c r="B179" s="144"/>
      <c r="C179" s="145"/>
      <c r="D179" s="145"/>
      <c r="E179" s="148"/>
      <c r="F179" s="155"/>
      <c r="G179" s="144"/>
      <c r="H179" s="144"/>
      <c r="I179" s="144"/>
      <c r="J179" s="145"/>
      <c r="K179" s="145"/>
      <c r="L179" s="148"/>
      <c r="M179" s="155"/>
      <c r="N179" s="144"/>
      <c r="O179" s="144"/>
      <c r="P179" s="144"/>
      <c r="Q179" s="145"/>
      <c r="R179" s="145"/>
      <c r="S179" s="154"/>
      <c r="T179" s="155"/>
      <c r="U179" s="144"/>
      <c r="V179" s="144"/>
    </row>
    <row r="180" spans="1:22" ht="14" x14ac:dyDescent="0.15">
      <c r="A180" s="144"/>
      <c r="B180" s="144"/>
      <c r="C180" s="145"/>
      <c r="D180" s="145"/>
      <c r="E180" s="148"/>
      <c r="F180" s="155"/>
      <c r="G180" s="144"/>
      <c r="H180" s="144"/>
      <c r="I180" s="144"/>
      <c r="J180" s="145"/>
      <c r="K180" s="145"/>
      <c r="L180" s="148"/>
      <c r="M180" s="155"/>
      <c r="N180" s="144"/>
      <c r="O180" s="144"/>
      <c r="P180" s="144"/>
      <c r="Q180" s="145"/>
      <c r="R180" s="145"/>
      <c r="S180" s="154"/>
      <c r="T180" s="155"/>
      <c r="U180" s="144"/>
      <c r="V180" s="144"/>
    </row>
    <row r="181" spans="1:22" ht="14" x14ac:dyDescent="0.15">
      <c r="A181" s="144"/>
      <c r="B181" s="144"/>
      <c r="C181" s="145"/>
      <c r="D181" s="145"/>
      <c r="E181" s="148"/>
      <c r="F181" s="155"/>
      <c r="G181" s="144"/>
      <c r="H181" s="144"/>
      <c r="I181" s="144"/>
      <c r="J181" s="145"/>
      <c r="K181" s="145"/>
      <c r="L181" s="148"/>
      <c r="M181" s="155"/>
      <c r="N181" s="144"/>
      <c r="O181" s="144"/>
      <c r="P181" s="144"/>
      <c r="Q181" s="145"/>
      <c r="R181" s="145"/>
      <c r="S181" s="154"/>
      <c r="T181" s="155"/>
      <c r="U181" s="144"/>
      <c r="V181" s="144"/>
    </row>
    <row r="182" spans="1:22" ht="14" x14ac:dyDescent="0.15">
      <c r="A182" s="144"/>
      <c r="B182" s="144"/>
      <c r="C182" s="145"/>
      <c r="D182" s="145"/>
      <c r="E182" s="148"/>
      <c r="F182" s="155"/>
      <c r="G182" s="144"/>
      <c r="H182" s="144"/>
      <c r="I182" s="144"/>
      <c r="J182" s="145"/>
      <c r="K182" s="145"/>
      <c r="L182" s="148"/>
      <c r="M182" s="155"/>
      <c r="N182" s="144"/>
      <c r="O182" s="144"/>
      <c r="P182" s="144"/>
      <c r="Q182" s="145"/>
      <c r="R182" s="145"/>
      <c r="S182" s="154"/>
      <c r="T182" s="155"/>
      <c r="U182" s="144"/>
      <c r="V182" s="144"/>
    </row>
    <row r="183" spans="1:22" ht="14" x14ac:dyDescent="0.15">
      <c r="A183" s="144"/>
      <c r="B183" s="144"/>
      <c r="C183" s="145"/>
      <c r="D183" s="145"/>
      <c r="E183" s="148"/>
      <c r="F183" s="155"/>
      <c r="G183" s="144"/>
      <c r="H183" s="144"/>
      <c r="I183" s="144"/>
      <c r="J183" s="145"/>
      <c r="K183" s="145"/>
      <c r="L183" s="148"/>
      <c r="M183" s="155"/>
      <c r="N183" s="144"/>
      <c r="O183" s="144"/>
      <c r="P183" s="144"/>
      <c r="Q183" s="145"/>
      <c r="R183" s="145"/>
      <c r="S183" s="154"/>
      <c r="T183" s="155"/>
      <c r="U183" s="144"/>
      <c r="V183" s="144"/>
    </row>
    <row r="184" spans="1:22" ht="14" x14ac:dyDescent="0.15">
      <c r="A184" s="144"/>
      <c r="B184" s="144"/>
      <c r="C184" s="145"/>
      <c r="D184" s="145"/>
      <c r="E184" s="148"/>
      <c r="F184" s="155"/>
      <c r="G184" s="144"/>
      <c r="H184" s="144"/>
      <c r="I184" s="144"/>
      <c r="J184" s="145"/>
      <c r="K184" s="145"/>
      <c r="L184" s="148"/>
      <c r="M184" s="155"/>
      <c r="N184" s="144"/>
      <c r="O184" s="144"/>
      <c r="P184" s="144"/>
      <c r="Q184" s="145"/>
      <c r="R184" s="145"/>
      <c r="S184" s="154"/>
      <c r="T184" s="155"/>
      <c r="U184" s="144"/>
      <c r="V184" s="144"/>
    </row>
    <row r="185" spans="1:22" ht="14" x14ac:dyDescent="0.15">
      <c r="A185" s="144"/>
      <c r="B185" s="144"/>
      <c r="C185" s="145"/>
      <c r="D185" s="145"/>
      <c r="E185" s="148"/>
      <c r="F185" s="155"/>
      <c r="G185" s="144"/>
      <c r="H185" s="144"/>
      <c r="I185" s="144"/>
      <c r="J185" s="145"/>
      <c r="K185" s="145"/>
      <c r="L185" s="148"/>
      <c r="M185" s="155"/>
      <c r="N185" s="144"/>
      <c r="O185" s="144"/>
      <c r="P185" s="144"/>
      <c r="Q185" s="145"/>
      <c r="R185" s="145"/>
      <c r="S185" s="154"/>
      <c r="T185" s="155"/>
      <c r="U185" s="144"/>
      <c r="V185" s="144"/>
    </row>
    <row r="186" spans="1:22" ht="14" x14ac:dyDescent="0.15">
      <c r="A186" s="144"/>
      <c r="B186" s="144"/>
      <c r="C186" s="145"/>
      <c r="D186" s="145"/>
      <c r="E186" s="148"/>
      <c r="F186" s="155"/>
      <c r="G186" s="144"/>
      <c r="H186" s="144"/>
      <c r="I186" s="144"/>
      <c r="J186" s="145"/>
      <c r="K186" s="145"/>
      <c r="L186" s="148"/>
      <c r="M186" s="155"/>
      <c r="N186" s="144"/>
      <c r="O186" s="144"/>
      <c r="P186" s="144"/>
      <c r="Q186" s="145"/>
      <c r="R186" s="145"/>
      <c r="S186" s="154"/>
      <c r="T186" s="155"/>
      <c r="U186" s="144"/>
      <c r="V186" s="144"/>
    </row>
    <row r="187" spans="1:22" ht="14" x14ac:dyDescent="0.15">
      <c r="A187" s="144"/>
      <c r="B187" s="144"/>
      <c r="C187" s="145"/>
      <c r="D187" s="145"/>
      <c r="E187" s="148"/>
      <c r="F187" s="155"/>
      <c r="G187" s="144"/>
      <c r="H187" s="144"/>
      <c r="I187" s="144"/>
      <c r="J187" s="145"/>
      <c r="K187" s="145"/>
      <c r="L187" s="148"/>
      <c r="M187" s="155"/>
      <c r="N187" s="144"/>
      <c r="O187" s="144"/>
      <c r="P187" s="144"/>
      <c r="Q187" s="145"/>
      <c r="R187" s="145"/>
      <c r="S187" s="154"/>
      <c r="T187" s="155"/>
      <c r="U187" s="144"/>
      <c r="V187" s="144"/>
    </row>
    <row r="188" spans="1:22" ht="14" x14ac:dyDescent="0.15">
      <c r="A188" s="144"/>
      <c r="B188" s="144"/>
      <c r="C188" s="145"/>
      <c r="D188" s="145"/>
      <c r="E188" s="148"/>
      <c r="F188" s="155"/>
      <c r="G188" s="144"/>
      <c r="H188" s="144"/>
      <c r="I188" s="144"/>
      <c r="J188" s="145"/>
      <c r="K188" s="145"/>
      <c r="L188" s="148"/>
      <c r="M188" s="155"/>
      <c r="N188" s="144"/>
      <c r="O188" s="144"/>
      <c r="P188" s="144"/>
      <c r="Q188" s="145"/>
      <c r="R188" s="145"/>
      <c r="S188" s="154"/>
      <c r="T188" s="155"/>
      <c r="U188" s="144"/>
      <c r="V188" s="144"/>
    </row>
    <row r="189" spans="1:22" ht="14" x14ac:dyDescent="0.15">
      <c r="A189" s="144"/>
      <c r="B189" s="144"/>
      <c r="C189" s="145"/>
      <c r="D189" s="145"/>
      <c r="E189" s="148"/>
      <c r="F189" s="155"/>
      <c r="G189" s="144"/>
      <c r="H189" s="144"/>
      <c r="I189" s="144"/>
      <c r="J189" s="145"/>
      <c r="K189" s="145"/>
      <c r="L189" s="148"/>
      <c r="M189" s="155"/>
      <c r="N189" s="144"/>
      <c r="O189" s="144"/>
      <c r="P189" s="144"/>
      <c r="Q189" s="145"/>
      <c r="R189" s="145"/>
      <c r="S189" s="154"/>
      <c r="T189" s="155"/>
      <c r="U189" s="144"/>
      <c r="V189" s="144"/>
    </row>
    <row r="190" spans="1:22" ht="14" x14ac:dyDescent="0.15">
      <c r="A190" s="144"/>
      <c r="B190" s="144"/>
      <c r="C190" s="145"/>
      <c r="D190" s="145"/>
      <c r="E190" s="148"/>
      <c r="F190" s="155"/>
      <c r="G190" s="144"/>
      <c r="H190" s="144"/>
      <c r="I190" s="144"/>
      <c r="J190" s="145"/>
      <c r="K190" s="145"/>
      <c r="L190" s="148"/>
      <c r="M190" s="155"/>
      <c r="N190" s="144"/>
      <c r="O190" s="144"/>
      <c r="P190" s="144"/>
      <c r="Q190" s="145"/>
      <c r="R190" s="145"/>
      <c r="S190" s="154"/>
      <c r="T190" s="155"/>
      <c r="U190" s="144"/>
      <c r="V190" s="144"/>
    </row>
    <row r="191" spans="1:22" ht="14" x14ac:dyDescent="0.15">
      <c r="A191" s="144"/>
      <c r="B191" s="144"/>
      <c r="C191" s="145"/>
      <c r="D191" s="145"/>
      <c r="E191" s="148"/>
      <c r="F191" s="155"/>
      <c r="G191" s="144"/>
      <c r="H191" s="144"/>
      <c r="I191" s="144"/>
      <c r="J191" s="145"/>
      <c r="K191" s="145"/>
      <c r="L191" s="148"/>
      <c r="M191" s="155"/>
      <c r="N191" s="144"/>
      <c r="O191" s="144"/>
      <c r="P191" s="144"/>
      <c r="Q191" s="145"/>
      <c r="R191" s="145"/>
      <c r="S191" s="154"/>
      <c r="T191" s="155"/>
      <c r="U191" s="144"/>
      <c r="V191" s="144"/>
    </row>
    <row r="192" spans="1:22" ht="14" x14ac:dyDescent="0.15">
      <c r="A192" s="144"/>
      <c r="B192" s="144"/>
      <c r="C192" s="145"/>
      <c r="D192" s="145"/>
      <c r="E192" s="148"/>
      <c r="F192" s="155"/>
      <c r="G192" s="144"/>
      <c r="H192" s="144"/>
      <c r="I192" s="144"/>
      <c r="J192" s="145"/>
      <c r="K192" s="145"/>
      <c r="L192" s="148"/>
      <c r="M192" s="155"/>
      <c r="N192" s="144"/>
      <c r="O192" s="144"/>
      <c r="P192" s="144"/>
      <c r="Q192" s="145"/>
      <c r="R192" s="145"/>
      <c r="S192" s="154"/>
      <c r="T192" s="155"/>
      <c r="U192" s="144"/>
      <c r="V192" s="144"/>
    </row>
    <row r="193" spans="1:22" ht="14" x14ac:dyDescent="0.15">
      <c r="A193" s="144"/>
      <c r="B193" s="144"/>
      <c r="C193" s="145"/>
      <c r="D193" s="145"/>
      <c r="E193" s="148"/>
      <c r="F193" s="155"/>
      <c r="G193" s="144"/>
      <c r="H193" s="144"/>
      <c r="I193" s="144"/>
      <c r="J193" s="145"/>
      <c r="K193" s="145"/>
      <c r="L193" s="148"/>
      <c r="M193" s="155"/>
      <c r="N193" s="144"/>
      <c r="O193" s="144"/>
      <c r="P193" s="144"/>
      <c r="Q193" s="145"/>
      <c r="R193" s="145"/>
      <c r="S193" s="154"/>
      <c r="T193" s="155"/>
      <c r="U193" s="144"/>
      <c r="V193" s="144"/>
    </row>
    <row r="194" spans="1:22" ht="14" x14ac:dyDescent="0.15">
      <c r="A194" s="144"/>
      <c r="B194" s="144"/>
      <c r="C194" s="145"/>
      <c r="D194" s="145"/>
      <c r="E194" s="148"/>
      <c r="F194" s="155"/>
      <c r="G194" s="144"/>
      <c r="H194" s="144"/>
      <c r="I194" s="144"/>
      <c r="J194" s="145"/>
      <c r="K194" s="145"/>
      <c r="L194" s="148"/>
      <c r="M194" s="155"/>
      <c r="N194" s="144"/>
      <c r="O194" s="144"/>
      <c r="P194" s="144"/>
      <c r="Q194" s="145"/>
      <c r="R194" s="145"/>
      <c r="S194" s="154"/>
      <c r="T194" s="155"/>
      <c r="U194" s="144"/>
      <c r="V194" s="144"/>
    </row>
    <row r="195" spans="1:22" ht="14" x14ac:dyDescent="0.15">
      <c r="A195" s="144"/>
      <c r="B195" s="144"/>
      <c r="C195" s="145"/>
      <c r="D195" s="145"/>
      <c r="E195" s="148"/>
      <c r="F195" s="155"/>
      <c r="G195" s="144"/>
      <c r="H195" s="144"/>
      <c r="I195" s="144"/>
      <c r="J195" s="145"/>
      <c r="K195" s="145"/>
      <c r="L195" s="148"/>
      <c r="M195" s="155"/>
      <c r="N195" s="144"/>
      <c r="O195" s="144"/>
      <c r="P195" s="144"/>
      <c r="Q195" s="145"/>
      <c r="R195" s="145"/>
      <c r="S195" s="154"/>
      <c r="T195" s="155"/>
      <c r="U195" s="144"/>
      <c r="V195" s="144"/>
    </row>
    <row r="196" spans="1:22" ht="14" x14ac:dyDescent="0.15">
      <c r="A196" s="144"/>
      <c r="B196" s="144"/>
      <c r="C196" s="145"/>
      <c r="D196" s="145"/>
      <c r="E196" s="148"/>
      <c r="F196" s="155"/>
      <c r="G196" s="144"/>
      <c r="H196" s="144"/>
      <c r="I196" s="144"/>
      <c r="J196" s="145"/>
      <c r="K196" s="145"/>
      <c r="L196" s="148"/>
      <c r="M196" s="155"/>
      <c r="N196" s="144"/>
      <c r="O196" s="144"/>
      <c r="P196" s="144"/>
      <c r="Q196" s="145"/>
      <c r="R196" s="145"/>
      <c r="S196" s="154"/>
      <c r="T196" s="155"/>
      <c r="U196" s="144"/>
      <c r="V196" s="144"/>
    </row>
    <row r="197" spans="1:22" ht="14" x14ac:dyDescent="0.15">
      <c r="A197" s="144"/>
      <c r="B197" s="144"/>
      <c r="C197" s="145"/>
      <c r="D197" s="145"/>
      <c r="E197" s="148"/>
      <c r="F197" s="155"/>
      <c r="G197" s="144"/>
      <c r="H197" s="144"/>
      <c r="I197" s="144"/>
      <c r="J197" s="145"/>
      <c r="K197" s="145"/>
      <c r="L197" s="148"/>
      <c r="M197" s="155"/>
      <c r="N197" s="144"/>
      <c r="O197" s="144"/>
      <c r="P197" s="144"/>
      <c r="Q197" s="145"/>
      <c r="R197" s="145"/>
      <c r="S197" s="154"/>
      <c r="T197" s="155"/>
      <c r="U197" s="144"/>
      <c r="V197" s="144"/>
    </row>
    <row r="198" spans="1:22" ht="14" x14ac:dyDescent="0.15">
      <c r="A198" s="144"/>
      <c r="B198" s="144"/>
      <c r="C198" s="145"/>
      <c r="D198" s="145"/>
      <c r="E198" s="148"/>
      <c r="F198" s="155"/>
      <c r="G198" s="144"/>
      <c r="H198" s="144"/>
      <c r="I198" s="144"/>
      <c r="J198" s="145"/>
      <c r="K198" s="145"/>
      <c r="L198" s="148"/>
      <c r="M198" s="155"/>
      <c r="N198" s="144"/>
      <c r="O198" s="144"/>
      <c r="P198" s="144"/>
      <c r="Q198" s="145"/>
      <c r="R198" s="145"/>
      <c r="S198" s="154"/>
      <c r="T198" s="155"/>
      <c r="U198" s="144"/>
      <c r="V198" s="144"/>
    </row>
    <row r="199" spans="1:22" ht="14" x14ac:dyDescent="0.15">
      <c r="A199" s="144"/>
      <c r="B199" s="144"/>
      <c r="C199" s="145"/>
      <c r="D199" s="145"/>
      <c r="E199" s="148"/>
      <c r="F199" s="155"/>
      <c r="G199" s="144"/>
      <c r="H199" s="144"/>
      <c r="I199" s="144"/>
      <c r="J199" s="145"/>
      <c r="K199" s="145"/>
      <c r="L199" s="148"/>
      <c r="M199" s="155"/>
      <c r="N199" s="144"/>
      <c r="O199" s="144"/>
      <c r="P199" s="144"/>
      <c r="Q199" s="145"/>
      <c r="R199" s="145"/>
      <c r="S199" s="154"/>
      <c r="T199" s="155"/>
      <c r="U199" s="144"/>
      <c r="V199" s="144"/>
    </row>
    <row r="200" spans="1:22" ht="14" x14ac:dyDescent="0.15">
      <c r="A200" s="144"/>
      <c r="B200" s="144"/>
      <c r="C200" s="145"/>
      <c r="D200" s="145"/>
      <c r="E200" s="148"/>
      <c r="F200" s="155"/>
      <c r="G200" s="144"/>
      <c r="H200" s="144"/>
      <c r="I200" s="144"/>
      <c r="J200" s="145"/>
      <c r="K200" s="145"/>
      <c r="L200" s="148"/>
      <c r="M200" s="155"/>
      <c r="N200" s="144"/>
      <c r="O200" s="144"/>
      <c r="P200" s="144"/>
      <c r="Q200" s="145"/>
      <c r="R200" s="145"/>
      <c r="S200" s="154"/>
      <c r="T200" s="155"/>
      <c r="U200" s="144"/>
      <c r="V200" s="144"/>
    </row>
    <row r="201" spans="1:22" ht="14" x14ac:dyDescent="0.15">
      <c r="A201" s="144"/>
      <c r="B201" s="144"/>
      <c r="C201" s="145"/>
      <c r="D201" s="145"/>
      <c r="E201" s="148"/>
      <c r="F201" s="155"/>
      <c r="G201" s="144"/>
      <c r="H201" s="144"/>
      <c r="I201" s="144"/>
      <c r="J201" s="145"/>
      <c r="K201" s="145"/>
      <c r="L201" s="148"/>
      <c r="M201" s="155"/>
      <c r="N201" s="144"/>
      <c r="O201" s="144"/>
      <c r="P201" s="144"/>
      <c r="Q201" s="145"/>
      <c r="R201" s="145"/>
      <c r="S201" s="154"/>
      <c r="T201" s="155"/>
      <c r="U201" s="144"/>
      <c r="V201" s="144"/>
    </row>
    <row r="202" spans="1:22" ht="14" x14ac:dyDescent="0.15">
      <c r="A202" s="144"/>
      <c r="B202" s="144"/>
      <c r="C202" s="145"/>
      <c r="D202" s="145"/>
      <c r="E202" s="148"/>
      <c r="F202" s="155"/>
      <c r="G202" s="144"/>
      <c r="H202" s="144"/>
      <c r="I202" s="144"/>
      <c r="J202" s="145"/>
      <c r="K202" s="145"/>
      <c r="L202" s="148"/>
      <c r="M202" s="155"/>
      <c r="N202" s="144"/>
      <c r="O202" s="144"/>
      <c r="P202" s="144"/>
      <c r="Q202" s="145"/>
      <c r="R202" s="145"/>
      <c r="S202" s="154"/>
      <c r="T202" s="155"/>
      <c r="U202" s="144"/>
      <c r="V202" s="144"/>
    </row>
    <row r="203" spans="1:22" ht="14" x14ac:dyDescent="0.15">
      <c r="A203" s="144"/>
      <c r="B203" s="144"/>
      <c r="C203" s="145"/>
      <c r="D203" s="145"/>
      <c r="E203" s="148"/>
      <c r="F203" s="155"/>
      <c r="G203" s="144"/>
      <c r="H203" s="144"/>
      <c r="I203" s="144"/>
      <c r="J203" s="145"/>
      <c r="K203" s="145"/>
      <c r="L203" s="148"/>
      <c r="M203" s="155"/>
      <c r="N203" s="144"/>
      <c r="O203" s="144"/>
      <c r="P203" s="144"/>
      <c r="Q203" s="145"/>
      <c r="R203" s="145"/>
      <c r="S203" s="154"/>
      <c r="T203" s="155"/>
      <c r="U203" s="144"/>
      <c r="V203" s="144"/>
    </row>
    <row r="204" spans="1:22" ht="14" x14ac:dyDescent="0.15">
      <c r="A204" s="144"/>
      <c r="B204" s="144"/>
      <c r="C204" s="145"/>
      <c r="D204" s="145"/>
      <c r="E204" s="148"/>
      <c r="F204" s="155"/>
      <c r="G204" s="144"/>
      <c r="H204" s="144"/>
      <c r="I204" s="144"/>
      <c r="J204" s="145"/>
      <c r="K204" s="145"/>
      <c r="L204" s="148"/>
      <c r="M204" s="155"/>
      <c r="N204" s="144"/>
      <c r="O204" s="144"/>
      <c r="P204" s="144"/>
      <c r="Q204" s="145"/>
      <c r="R204" s="145"/>
      <c r="S204" s="154"/>
      <c r="T204" s="155"/>
      <c r="U204" s="144"/>
      <c r="V204" s="144"/>
    </row>
    <row r="205" spans="1:22" ht="14" x14ac:dyDescent="0.15">
      <c r="A205" s="144"/>
      <c r="B205" s="144"/>
      <c r="C205" s="145"/>
      <c r="D205" s="145"/>
      <c r="E205" s="148"/>
      <c r="F205" s="155"/>
      <c r="G205" s="144"/>
      <c r="H205" s="144"/>
      <c r="I205" s="144"/>
      <c r="J205" s="145"/>
      <c r="K205" s="145"/>
      <c r="L205" s="148"/>
      <c r="M205" s="155"/>
      <c r="N205" s="144"/>
      <c r="O205" s="144"/>
      <c r="P205" s="144"/>
      <c r="Q205" s="145"/>
      <c r="R205" s="145"/>
      <c r="S205" s="154"/>
      <c r="T205" s="155"/>
      <c r="U205" s="144"/>
      <c r="V205" s="144"/>
    </row>
    <row r="206" spans="1:22" ht="14" x14ac:dyDescent="0.15">
      <c r="A206" s="144"/>
      <c r="B206" s="144"/>
      <c r="C206" s="145"/>
      <c r="D206" s="145"/>
      <c r="E206" s="148"/>
      <c r="F206" s="155"/>
      <c r="G206" s="144"/>
      <c r="H206" s="144"/>
      <c r="I206" s="144"/>
      <c r="J206" s="145"/>
      <c r="K206" s="145"/>
      <c r="L206" s="148"/>
      <c r="M206" s="155"/>
      <c r="N206" s="144"/>
      <c r="O206" s="144"/>
      <c r="P206" s="144"/>
      <c r="Q206" s="145"/>
      <c r="R206" s="145"/>
      <c r="S206" s="154"/>
      <c r="T206" s="155"/>
      <c r="U206" s="144"/>
      <c r="V206" s="144"/>
    </row>
    <row r="207" spans="1:22" ht="14" x14ac:dyDescent="0.15">
      <c r="A207" s="144"/>
      <c r="B207" s="144"/>
      <c r="C207" s="145"/>
      <c r="D207" s="145"/>
      <c r="E207" s="148"/>
      <c r="F207" s="155"/>
      <c r="G207" s="144"/>
      <c r="H207" s="144"/>
      <c r="I207" s="144"/>
      <c r="J207" s="145"/>
      <c r="K207" s="145"/>
      <c r="L207" s="148"/>
      <c r="M207" s="155"/>
      <c r="N207" s="144"/>
      <c r="O207" s="144"/>
      <c r="P207" s="144"/>
      <c r="Q207" s="145"/>
      <c r="R207" s="145"/>
      <c r="S207" s="154"/>
      <c r="T207" s="155"/>
      <c r="U207" s="144"/>
      <c r="V207" s="144"/>
    </row>
    <row r="208" spans="1:22" ht="14" x14ac:dyDescent="0.15">
      <c r="A208" s="144"/>
      <c r="B208" s="144"/>
      <c r="C208" s="145"/>
      <c r="D208" s="145"/>
      <c r="E208" s="148"/>
      <c r="F208" s="155"/>
      <c r="G208" s="144"/>
      <c r="H208" s="144"/>
      <c r="I208" s="144"/>
      <c r="J208" s="145"/>
      <c r="K208" s="145"/>
      <c r="L208" s="148"/>
      <c r="M208" s="155"/>
      <c r="N208" s="144"/>
      <c r="O208" s="144"/>
      <c r="P208" s="144"/>
      <c r="Q208" s="145"/>
      <c r="R208" s="145"/>
      <c r="S208" s="154"/>
      <c r="T208" s="155"/>
      <c r="U208" s="144"/>
      <c r="V208" s="144"/>
    </row>
    <row r="209" spans="1:22" ht="14" x14ac:dyDescent="0.15">
      <c r="A209" s="144"/>
      <c r="B209" s="144"/>
      <c r="C209" s="145"/>
      <c r="D209" s="145"/>
      <c r="E209" s="148"/>
      <c r="F209" s="155"/>
      <c r="G209" s="144"/>
      <c r="H209" s="144"/>
      <c r="I209" s="144"/>
      <c r="J209" s="145"/>
      <c r="K209" s="145"/>
      <c r="L209" s="148"/>
      <c r="M209" s="155"/>
      <c r="N209" s="144"/>
      <c r="O209" s="144"/>
      <c r="P209" s="144"/>
      <c r="Q209" s="145"/>
      <c r="R209" s="145"/>
      <c r="S209" s="154"/>
      <c r="T209" s="155"/>
      <c r="U209" s="144"/>
      <c r="V209" s="144"/>
    </row>
    <row r="210" spans="1:22" ht="14" x14ac:dyDescent="0.15">
      <c r="A210" s="144"/>
      <c r="B210" s="144"/>
      <c r="C210" s="145"/>
      <c r="D210" s="145"/>
      <c r="E210" s="148"/>
      <c r="F210" s="155"/>
      <c r="G210" s="144"/>
      <c r="H210" s="144"/>
      <c r="I210" s="144"/>
      <c r="J210" s="145"/>
      <c r="K210" s="145"/>
      <c r="L210" s="148"/>
      <c r="M210" s="155"/>
      <c r="N210" s="144"/>
      <c r="O210" s="144"/>
      <c r="P210" s="144"/>
      <c r="Q210" s="145"/>
      <c r="R210" s="145"/>
      <c r="S210" s="154"/>
      <c r="T210" s="155"/>
      <c r="U210" s="144"/>
      <c r="V210" s="144"/>
    </row>
    <row r="211" spans="1:22" ht="14" x14ac:dyDescent="0.15">
      <c r="A211" s="144"/>
      <c r="B211" s="144"/>
      <c r="C211" s="145"/>
      <c r="D211" s="145"/>
      <c r="E211" s="148"/>
      <c r="F211" s="155"/>
      <c r="G211" s="144"/>
      <c r="H211" s="144"/>
      <c r="I211" s="144"/>
      <c r="J211" s="145"/>
      <c r="K211" s="145"/>
      <c r="L211" s="148"/>
      <c r="M211" s="155"/>
      <c r="N211" s="144"/>
      <c r="O211" s="144"/>
      <c r="P211" s="144"/>
      <c r="Q211" s="145"/>
      <c r="R211" s="145"/>
      <c r="S211" s="154"/>
      <c r="T211" s="155"/>
      <c r="U211" s="144"/>
      <c r="V211" s="144"/>
    </row>
    <row r="212" spans="1:22" ht="14" x14ac:dyDescent="0.15">
      <c r="A212" s="144"/>
      <c r="B212" s="144"/>
      <c r="C212" s="145"/>
      <c r="D212" s="145"/>
      <c r="E212" s="148"/>
      <c r="F212" s="155"/>
      <c r="G212" s="144"/>
      <c r="H212" s="144"/>
      <c r="I212" s="144"/>
      <c r="J212" s="145"/>
      <c r="K212" s="145"/>
      <c r="L212" s="148"/>
      <c r="M212" s="155"/>
      <c r="N212" s="144"/>
      <c r="O212" s="144"/>
      <c r="P212" s="144"/>
      <c r="Q212" s="145"/>
      <c r="R212" s="145"/>
      <c r="S212" s="154"/>
      <c r="T212" s="155"/>
      <c r="U212" s="144"/>
      <c r="V212" s="144"/>
    </row>
    <row r="213" spans="1:22" ht="14" x14ac:dyDescent="0.15">
      <c r="A213" s="144"/>
      <c r="B213" s="144"/>
      <c r="C213" s="145"/>
      <c r="D213" s="145"/>
      <c r="E213" s="148"/>
      <c r="F213" s="155"/>
      <c r="G213" s="144"/>
      <c r="H213" s="144"/>
      <c r="I213" s="144"/>
      <c r="J213" s="145"/>
      <c r="K213" s="145"/>
      <c r="L213" s="148"/>
      <c r="M213" s="155"/>
      <c r="N213" s="144"/>
      <c r="O213" s="144"/>
      <c r="P213" s="144"/>
      <c r="Q213" s="145"/>
      <c r="R213" s="145"/>
      <c r="S213" s="154"/>
      <c r="T213" s="155"/>
      <c r="U213" s="144"/>
      <c r="V213" s="144"/>
    </row>
    <row r="214" spans="1:22" ht="14" x14ac:dyDescent="0.15">
      <c r="A214" s="144"/>
      <c r="B214" s="144"/>
      <c r="C214" s="145"/>
      <c r="D214" s="145"/>
      <c r="E214" s="148"/>
      <c r="F214" s="155"/>
      <c r="G214" s="144"/>
      <c r="H214" s="144"/>
      <c r="I214" s="144"/>
      <c r="J214" s="145"/>
      <c r="K214" s="145"/>
      <c r="L214" s="148"/>
      <c r="M214" s="155"/>
      <c r="N214" s="144"/>
      <c r="O214" s="144"/>
      <c r="P214" s="144"/>
      <c r="Q214" s="145"/>
      <c r="R214" s="145"/>
      <c r="S214" s="154"/>
      <c r="T214" s="155"/>
      <c r="U214" s="144"/>
      <c r="V214" s="144"/>
    </row>
    <row r="215" spans="1:22" ht="14" x14ac:dyDescent="0.15">
      <c r="A215" s="144"/>
      <c r="B215" s="144"/>
      <c r="C215" s="145"/>
      <c r="D215" s="145"/>
      <c r="E215" s="148"/>
      <c r="F215" s="155"/>
      <c r="G215" s="144"/>
      <c r="H215" s="144"/>
      <c r="I215" s="144"/>
      <c r="J215" s="145"/>
      <c r="K215" s="145"/>
      <c r="L215" s="148"/>
      <c r="M215" s="155"/>
      <c r="N215" s="144"/>
      <c r="O215" s="144"/>
      <c r="P215" s="144"/>
      <c r="Q215" s="145"/>
      <c r="R215" s="145"/>
      <c r="S215" s="154"/>
      <c r="T215" s="155"/>
      <c r="U215" s="144"/>
      <c r="V215" s="144"/>
    </row>
    <row r="216" spans="1:22" ht="14" x14ac:dyDescent="0.15">
      <c r="A216" s="144"/>
      <c r="B216" s="144"/>
      <c r="C216" s="145"/>
      <c r="D216" s="145"/>
      <c r="E216" s="148"/>
      <c r="F216" s="155"/>
      <c r="G216" s="144"/>
      <c r="H216" s="144"/>
      <c r="I216" s="144"/>
      <c r="J216" s="145"/>
      <c r="K216" s="145"/>
      <c r="L216" s="148"/>
      <c r="M216" s="155"/>
      <c r="N216" s="144"/>
      <c r="O216" s="144"/>
      <c r="P216" s="144"/>
      <c r="Q216" s="145"/>
      <c r="R216" s="145"/>
      <c r="S216" s="154"/>
      <c r="T216" s="155"/>
      <c r="U216" s="144"/>
      <c r="V216" s="144"/>
    </row>
    <row r="217" spans="1:22" ht="14" x14ac:dyDescent="0.15">
      <c r="A217" s="144"/>
      <c r="B217" s="144"/>
      <c r="C217" s="145"/>
      <c r="D217" s="145"/>
      <c r="E217" s="148"/>
      <c r="F217" s="155"/>
      <c r="G217" s="144"/>
      <c r="H217" s="144"/>
      <c r="I217" s="144"/>
      <c r="J217" s="145"/>
      <c r="K217" s="145"/>
      <c r="L217" s="148"/>
      <c r="M217" s="155"/>
      <c r="N217" s="144"/>
      <c r="O217" s="144"/>
      <c r="P217" s="144"/>
      <c r="Q217" s="145"/>
      <c r="R217" s="145"/>
      <c r="S217" s="154"/>
      <c r="T217" s="155"/>
      <c r="U217" s="144"/>
      <c r="V217" s="144"/>
    </row>
    <row r="218" spans="1:22" ht="14" x14ac:dyDescent="0.15">
      <c r="A218" s="144"/>
      <c r="B218" s="144"/>
      <c r="C218" s="145"/>
      <c r="D218" s="145"/>
      <c r="E218" s="148"/>
      <c r="F218" s="155"/>
      <c r="G218" s="144"/>
      <c r="H218" s="144"/>
      <c r="I218" s="144"/>
      <c r="J218" s="145"/>
      <c r="K218" s="145"/>
      <c r="L218" s="148"/>
      <c r="M218" s="155"/>
      <c r="N218" s="144"/>
      <c r="O218" s="144"/>
      <c r="P218" s="144"/>
      <c r="Q218" s="145"/>
      <c r="R218" s="145"/>
      <c r="S218" s="154"/>
      <c r="T218" s="155"/>
      <c r="U218" s="144"/>
      <c r="V218" s="144"/>
    </row>
    <row r="219" spans="1:22" ht="14" x14ac:dyDescent="0.15">
      <c r="A219" s="144"/>
      <c r="B219" s="144"/>
      <c r="C219" s="145"/>
      <c r="D219" s="145"/>
      <c r="E219" s="148"/>
      <c r="F219" s="155"/>
      <c r="G219" s="144"/>
      <c r="H219" s="144"/>
      <c r="I219" s="144"/>
      <c r="J219" s="145"/>
      <c r="K219" s="145"/>
      <c r="L219" s="148"/>
      <c r="M219" s="155"/>
      <c r="N219" s="144"/>
      <c r="O219" s="144"/>
      <c r="P219" s="144"/>
      <c r="Q219" s="145"/>
      <c r="R219" s="145"/>
      <c r="S219" s="154"/>
      <c r="T219" s="155"/>
      <c r="U219" s="144"/>
      <c r="V219" s="144"/>
    </row>
    <row r="220" spans="1:22" ht="14" x14ac:dyDescent="0.15">
      <c r="A220" s="144"/>
      <c r="B220" s="144"/>
      <c r="C220" s="145"/>
      <c r="D220" s="145"/>
      <c r="E220" s="148"/>
      <c r="F220" s="155"/>
      <c r="G220" s="144"/>
      <c r="H220" s="144"/>
      <c r="I220" s="144"/>
      <c r="J220" s="145"/>
      <c r="K220" s="145"/>
      <c r="L220" s="148"/>
      <c r="M220" s="155"/>
      <c r="N220" s="144"/>
      <c r="O220" s="144"/>
      <c r="P220" s="144"/>
      <c r="Q220" s="145"/>
      <c r="R220" s="145"/>
      <c r="S220" s="154"/>
      <c r="T220" s="155"/>
      <c r="U220" s="144"/>
      <c r="V220" s="144"/>
    </row>
    <row r="221" spans="1:22" ht="14" x14ac:dyDescent="0.15">
      <c r="A221" s="144"/>
      <c r="B221" s="144"/>
      <c r="C221" s="145"/>
      <c r="D221" s="145"/>
      <c r="E221" s="148"/>
      <c r="F221" s="155"/>
      <c r="G221" s="144"/>
      <c r="H221" s="144"/>
      <c r="I221" s="144"/>
      <c r="J221" s="145"/>
      <c r="K221" s="145"/>
      <c r="L221" s="148"/>
      <c r="M221" s="155"/>
      <c r="N221" s="144"/>
      <c r="O221" s="144"/>
      <c r="P221" s="144"/>
      <c r="Q221" s="145"/>
      <c r="R221" s="145"/>
      <c r="S221" s="154"/>
      <c r="T221" s="155"/>
      <c r="U221" s="144"/>
      <c r="V221" s="144"/>
    </row>
    <row r="222" spans="1:22" ht="14" x14ac:dyDescent="0.15">
      <c r="A222" s="144"/>
      <c r="B222" s="144"/>
      <c r="C222" s="145"/>
      <c r="D222" s="145"/>
      <c r="E222" s="148"/>
      <c r="F222" s="155"/>
      <c r="G222" s="144"/>
      <c r="H222" s="144"/>
      <c r="I222" s="144"/>
      <c r="J222" s="145"/>
      <c r="K222" s="145"/>
      <c r="L222" s="148"/>
      <c r="M222" s="155"/>
      <c r="N222" s="144"/>
      <c r="O222" s="144"/>
      <c r="P222" s="144"/>
      <c r="Q222" s="145"/>
      <c r="R222" s="145"/>
      <c r="S222" s="154"/>
      <c r="T222" s="155"/>
      <c r="U222" s="144"/>
      <c r="V222" s="144"/>
    </row>
    <row r="223" spans="1:22" ht="14" x14ac:dyDescent="0.15">
      <c r="A223" s="144"/>
      <c r="B223" s="144"/>
      <c r="C223" s="145"/>
      <c r="D223" s="145"/>
      <c r="E223" s="148"/>
      <c r="F223" s="155"/>
      <c r="G223" s="144"/>
      <c r="H223" s="144"/>
      <c r="I223" s="144"/>
      <c r="J223" s="145"/>
      <c r="K223" s="145"/>
      <c r="L223" s="148"/>
      <c r="M223" s="155"/>
      <c r="N223" s="144"/>
      <c r="O223" s="144"/>
      <c r="P223" s="144"/>
      <c r="Q223" s="145"/>
      <c r="R223" s="145"/>
      <c r="S223" s="154"/>
      <c r="T223" s="155"/>
      <c r="U223" s="144"/>
      <c r="V223" s="144"/>
    </row>
    <row r="224" spans="1:22" ht="14" x14ac:dyDescent="0.15">
      <c r="A224" s="144"/>
      <c r="B224" s="144"/>
      <c r="C224" s="145"/>
      <c r="D224" s="145"/>
      <c r="E224" s="148"/>
      <c r="F224" s="155"/>
      <c r="G224" s="144"/>
      <c r="H224" s="144"/>
      <c r="I224" s="144"/>
      <c r="J224" s="145"/>
      <c r="K224" s="145"/>
      <c r="L224" s="148"/>
      <c r="M224" s="155"/>
      <c r="N224" s="144"/>
      <c r="O224" s="144"/>
      <c r="P224" s="144"/>
      <c r="Q224" s="145"/>
      <c r="R224" s="145"/>
      <c r="S224" s="154"/>
      <c r="T224" s="155"/>
      <c r="U224" s="144"/>
      <c r="V224" s="144"/>
    </row>
    <row r="225" spans="1:22" ht="14" x14ac:dyDescent="0.15">
      <c r="A225" s="144"/>
      <c r="B225" s="144"/>
      <c r="C225" s="145"/>
      <c r="D225" s="145"/>
      <c r="E225" s="148"/>
      <c r="F225" s="155"/>
      <c r="G225" s="144"/>
      <c r="H225" s="144"/>
      <c r="I225" s="144"/>
      <c r="J225" s="145"/>
      <c r="K225" s="145"/>
      <c r="L225" s="148"/>
      <c r="M225" s="155"/>
      <c r="N225" s="144"/>
      <c r="O225" s="144"/>
      <c r="P225" s="144"/>
      <c r="Q225" s="145"/>
      <c r="R225" s="145"/>
      <c r="S225" s="154"/>
      <c r="T225" s="155"/>
      <c r="U225" s="144"/>
      <c r="V225" s="144"/>
    </row>
    <row r="226" spans="1:22" ht="14" x14ac:dyDescent="0.15">
      <c r="A226" s="144"/>
      <c r="B226" s="144"/>
      <c r="C226" s="145"/>
      <c r="D226" s="145"/>
      <c r="E226" s="148"/>
      <c r="F226" s="155"/>
      <c r="G226" s="144"/>
      <c r="H226" s="144"/>
      <c r="I226" s="144"/>
      <c r="J226" s="145"/>
      <c r="K226" s="145"/>
      <c r="L226" s="148"/>
      <c r="M226" s="155"/>
      <c r="N226" s="144"/>
      <c r="O226" s="144"/>
      <c r="P226" s="144"/>
      <c r="Q226" s="145"/>
      <c r="R226" s="145"/>
      <c r="S226" s="154"/>
      <c r="T226" s="155"/>
      <c r="U226" s="144"/>
      <c r="V226" s="144"/>
    </row>
    <row r="227" spans="1:22" ht="14" x14ac:dyDescent="0.15">
      <c r="A227" s="144"/>
      <c r="B227" s="144"/>
      <c r="C227" s="145"/>
      <c r="D227" s="145"/>
      <c r="E227" s="148"/>
      <c r="F227" s="155"/>
      <c r="G227" s="144"/>
      <c r="H227" s="144"/>
      <c r="I227" s="144"/>
      <c r="J227" s="145"/>
      <c r="K227" s="145"/>
      <c r="L227" s="148"/>
      <c r="M227" s="155"/>
      <c r="N227" s="144"/>
      <c r="O227" s="144"/>
      <c r="P227" s="144"/>
      <c r="Q227" s="145"/>
      <c r="R227" s="145"/>
      <c r="S227" s="154"/>
      <c r="T227" s="155"/>
      <c r="U227" s="144"/>
      <c r="V227" s="144"/>
    </row>
    <row r="228" spans="1:22" ht="14" x14ac:dyDescent="0.15">
      <c r="A228" s="144"/>
      <c r="B228" s="144"/>
      <c r="C228" s="145"/>
      <c r="D228" s="145"/>
      <c r="E228" s="148"/>
      <c r="F228" s="155"/>
      <c r="G228" s="144"/>
      <c r="H228" s="144"/>
      <c r="I228" s="144"/>
      <c r="J228" s="145"/>
      <c r="K228" s="145"/>
      <c r="L228" s="148"/>
      <c r="M228" s="155"/>
      <c r="N228" s="144"/>
      <c r="O228" s="144"/>
      <c r="P228" s="144"/>
      <c r="Q228" s="145"/>
      <c r="R228" s="145"/>
      <c r="S228" s="154"/>
      <c r="T228" s="155"/>
      <c r="U228" s="144"/>
      <c r="V228" s="144"/>
    </row>
    <row r="229" spans="1:22" ht="14" x14ac:dyDescent="0.15">
      <c r="A229" s="144"/>
      <c r="B229" s="144"/>
      <c r="C229" s="145"/>
      <c r="D229" s="145"/>
      <c r="E229" s="148"/>
      <c r="F229" s="155"/>
      <c r="G229" s="144"/>
      <c r="H229" s="144"/>
      <c r="I229" s="144"/>
      <c r="J229" s="145"/>
      <c r="K229" s="145"/>
      <c r="L229" s="148"/>
      <c r="M229" s="155"/>
      <c r="N229" s="144"/>
      <c r="O229" s="144"/>
      <c r="P229" s="144"/>
      <c r="Q229" s="145"/>
      <c r="R229" s="145"/>
      <c r="S229" s="154"/>
      <c r="T229" s="155"/>
      <c r="U229" s="144"/>
      <c r="V229" s="144"/>
    </row>
    <row r="230" spans="1:22" ht="14" x14ac:dyDescent="0.15">
      <c r="A230" s="144"/>
      <c r="B230" s="144"/>
      <c r="C230" s="145"/>
      <c r="D230" s="145"/>
      <c r="E230" s="148"/>
      <c r="F230" s="155"/>
      <c r="G230" s="144"/>
      <c r="H230" s="144"/>
      <c r="I230" s="144"/>
      <c r="J230" s="145"/>
      <c r="K230" s="145"/>
      <c r="L230" s="148"/>
      <c r="M230" s="155"/>
      <c r="N230" s="144"/>
      <c r="O230" s="144"/>
      <c r="P230" s="144"/>
      <c r="Q230" s="145"/>
      <c r="R230" s="145"/>
      <c r="S230" s="154"/>
      <c r="T230" s="155"/>
      <c r="U230" s="144"/>
      <c r="V230" s="144"/>
    </row>
    <row r="231" spans="1:22" ht="14" x14ac:dyDescent="0.15">
      <c r="A231" s="144"/>
      <c r="B231" s="144"/>
      <c r="C231" s="145"/>
      <c r="D231" s="145"/>
      <c r="E231" s="148"/>
      <c r="F231" s="155"/>
      <c r="G231" s="144"/>
      <c r="H231" s="144"/>
      <c r="I231" s="144"/>
      <c r="J231" s="145"/>
      <c r="K231" s="145"/>
      <c r="L231" s="148"/>
      <c r="M231" s="155"/>
      <c r="N231" s="144"/>
      <c r="O231" s="144"/>
      <c r="P231" s="144"/>
      <c r="Q231" s="145"/>
      <c r="R231" s="145"/>
      <c r="S231" s="154"/>
      <c r="T231" s="155"/>
      <c r="U231" s="144"/>
      <c r="V231" s="144"/>
    </row>
    <row r="232" spans="1:22" ht="14" x14ac:dyDescent="0.15">
      <c r="A232" s="144"/>
      <c r="B232" s="144"/>
      <c r="C232" s="145"/>
      <c r="D232" s="145"/>
      <c r="E232" s="148"/>
      <c r="F232" s="155"/>
      <c r="G232" s="144"/>
      <c r="H232" s="144"/>
      <c r="I232" s="144"/>
      <c r="J232" s="145"/>
      <c r="K232" s="145"/>
      <c r="L232" s="148"/>
      <c r="M232" s="155"/>
      <c r="N232" s="144"/>
      <c r="O232" s="144"/>
      <c r="P232" s="144"/>
      <c r="Q232" s="145"/>
      <c r="R232" s="145"/>
      <c r="S232" s="154"/>
      <c r="T232" s="155"/>
      <c r="U232" s="144"/>
      <c r="V232" s="144"/>
    </row>
    <row r="233" spans="1:22" ht="14" x14ac:dyDescent="0.15">
      <c r="A233" s="144"/>
      <c r="B233" s="144"/>
      <c r="C233" s="145"/>
      <c r="D233" s="145"/>
      <c r="E233" s="148"/>
      <c r="F233" s="155"/>
      <c r="G233" s="144"/>
      <c r="H233" s="144"/>
      <c r="I233" s="144"/>
      <c r="J233" s="145"/>
      <c r="K233" s="145"/>
      <c r="L233" s="148"/>
      <c r="M233" s="155"/>
      <c r="N233" s="144"/>
      <c r="O233" s="144"/>
      <c r="P233" s="144"/>
      <c r="Q233" s="145"/>
      <c r="R233" s="145"/>
      <c r="S233" s="154"/>
      <c r="T233" s="155"/>
      <c r="U233" s="144"/>
      <c r="V233" s="144"/>
    </row>
    <row r="234" spans="1:22" ht="14" x14ac:dyDescent="0.15">
      <c r="A234" s="144"/>
      <c r="B234" s="144"/>
      <c r="C234" s="145"/>
      <c r="D234" s="145"/>
      <c r="E234" s="148"/>
      <c r="F234" s="155"/>
      <c r="G234" s="144"/>
      <c r="H234" s="144"/>
      <c r="I234" s="144"/>
      <c r="J234" s="145"/>
      <c r="K234" s="145"/>
      <c r="L234" s="148"/>
      <c r="M234" s="155"/>
      <c r="N234" s="144"/>
      <c r="O234" s="144"/>
      <c r="P234" s="144"/>
      <c r="Q234" s="145"/>
      <c r="R234" s="145"/>
      <c r="S234" s="154"/>
      <c r="T234" s="155"/>
      <c r="U234" s="144"/>
      <c r="V234" s="144"/>
    </row>
    <row r="235" spans="1:22" ht="14" x14ac:dyDescent="0.15">
      <c r="A235" s="144"/>
      <c r="B235" s="144"/>
      <c r="C235" s="145"/>
      <c r="D235" s="145"/>
      <c r="E235" s="148"/>
      <c r="F235" s="155"/>
      <c r="G235" s="144"/>
      <c r="H235" s="144"/>
      <c r="I235" s="144"/>
      <c r="J235" s="145"/>
      <c r="K235" s="145"/>
      <c r="L235" s="148"/>
      <c r="M235" s="155"/>
      <c r="N235" s="144"/>
      <c r="O235" s="144"/>
      <c r="P235" s="144"/>
      <c r="Q235" s="145"/>
      <c r="R235" s="145"/>
      <c r="S235" s="154"/>
      <c r="T235" s="155"/>
      <c r="U235" s="144"/>
      <c r="V235" s="144"/>
    </row>
    <row r="236" spans="1:22" ht="14" x14ac:dyDescent="0.15">
      <c r="A236" s="144"/>
      <c r="B236" s="144"/>
      <c r="C236" s="145"/>
      <c r="D236" s="145"/>
      <c r="E236" s="148"/>
      <c r="F236" s="155"/>
      <c r="G236" s="144"/>
      <c r="H236" s="144"/>
      <c r="I236" s="144"/>
      <c r="J236" s="145"/>
      <c r="K236" s="145"/>
      <c r="L236" s="148"/>
      <c r="M236" s="155"/>
      <c r="N236" s="144"/>
      <c r="O236" s="144"/>
      <c r="P236" s="144"/>
      <c r="Q236" s="145"/>
      <c r="R236" s="145"/>
      <c r="S236" s="154"/>
      <c r="T236" s="155"/>
      <c r="U236" s="144"/>
      <c r="V236" s="144"/>
    </row>
    <row r="237" spans="1:22" ht="14" x14ac:dyDescent="0.15">
      <c r="A237" s="144"/>
      <c r="B237" s="144"/>
      <c r="C237" s="145"/>
      <c r="D237" s="145"/>
      <c r="E237" s="148"/>
      <c r="F237" s="155"/>
      <c r="G237" s="144"/>
      <c r="H237" s="144"/>
      <c r="I237" s="144"/>
      <c r="J237" s="145"/>
      <c r="K237" s="145"/>
      <c r="L237" s="148"/>
      <c r="M237" s="155"/>
      <c r="N237" s="144"/>
      <c r="O237" s="144"/>
      <c r="P237" s="144"/>
      <c r="Q237" s="145"/>
      <c r="R237" s="145"/>
      <c r="S237" s="154"/>
      <c r="T237" s="155"/>
      <c r="U237" s="144"/>
      <c r="V237" s="144"/>
    </row>
    <row r="238" spans="1:22" ht="14" x14ac:dyDescent="0.15">
      <c r="A238" s="144"/>
      <c r="B238" s="144"/>
      <c r="C238" s="145"/>
      <c r="D238" s="145"/>
      <c r="E238" s="148"/>
      <c r="F238" s="155"/>
      <c r="G238" s="144"/>
      <c r="H238" s="144"/>
      <c r="I238" s="144"/>
      <c r="J238" s="145"/>
      <c r="K238" s="145"/>
      <c r="L238" s="148"/>
      <c r="M238" s="155"/>
      <c r="N238" s="144"/>
      <c r="O238" s="144"/>
      <c r="P238" s="144"/>
      <c r="Q238" s="145"/>
      <c r="R238" s="145"/>
      <c r="S238" s="154"/>
      <c r="T238" s="155"/>
      <c r="U238" s="144"/>
      <c r="V238" s="144"/>
    </row>
    <row r="239" spans="1:22" ht="14" x14ac:dyDescent="0.15">
      <c r="A239" s="144"/>
      <c r="B239" s="144"/>
      <c r="C239" s="145"/>
      <c r="D239" s="145"/>
      <c r="E239" s="148"/>
      <c r="F239" s="155"/>
      <c r="G239" s="144"/>
      <c r="H239" s="144"/>
      <c r="I239" s="144"/>
      <c r="J239" s="145"/>
      <c r="K239" s="145"/>
      <c r="L239" s="148"/>
      <c r="M239" s="155"/>
      <c r="N239" s="144"/>
      <c r="O239" s="144"/>
      <c r="P239" s="144"/>
      <c r="Q239" s="145"/>
      <c r="R239" s="145"/>
      <c r="S239" s="154"/>
      <c r="T239" s="155"/>
      <c r="U239" s="144"/>
      <c r="V239" s="144"/>
    </row>
    <row r="240" spans="1:22" ht="14" x14ac:dyDescent="0.15">
      <c r="A240" s="144"/>
      <c r="B240" s="144"/>
      <c r="C240" s="145"/>
      <c r="D240" s="145"/>
      <c r="E240" s="148"/>
      <c r="F240" s="155"/>
      <c r="G240" s="144"/>
      <c r="H240" s="144"/>
      <c r="I240" s="144"/>
      <c r="J240" s="145"/>
      <c r="K240" s="145"/>
      <c r="L240" s="148"/>
      <c r="M240" s="155"/>
      <c r="N240" s="144"/>
      <c r="O240" s="144"/>
      <c r="P240" s="144"/>
      <c r="Q240" s="145"/>
      <c r="R240" s="145"/>
      <c r="S240" s="154"/>
      <c r="T240" s="155"/>
      <c r="U240" s="144"/>
      <c r="V240" s="144"/>
    </row>
    <row r="241" spans="1:22" ht="14" x14ac:dyDescent="0.15">
      <c r="A241" s="144"/>
      <c r="B241" s="144"/>
      <c r="C241" s="145"/>
      <c r="D241" s="145"/>
      <c r="E241" s="148"/>
      <c r="F241" s="155"/>
      <c r="G241" s="144"/>
      <c r="H241" s="144"/>
      <c r="I241" s="144"/>
      <c r="J241" s="145"/>
      <c r="K241" s="145"/>
      <c r="L241" s="148"/>
      <c r="M241" s="155"/>
      <c r="N241" s="144"/>
      <c r="O241" s="144"/>
      <c r="P241" s="144"/>
      <c r="Q241" s="145"/>
      <c r="R241" s="145"/>
      <c r="S241" s="154"/>
      <c r="T241" s="155"/>
      <c r="U241" s="144"/>
      <c r="V241" s="144"/>
    </row>
    <row r="242" spans="1:22" ht="14" x14ac:dyDescent="0.15">
      <c r="A242" s="144"/>
      <c r="B242" s="144"/>
      <c r="C242" s="145"/>
      <c r="D242" s="145"/>
      <c r="E242" s="148"/>
      <c r="F242" s="155"/>
      <c r="G242" s="144"/>
      <c r="H242" s="144"/>
      <c r="I242" s="144"/>
      <c r="J242" s="145"/>
      <c r="K242" s="145"/>
      <c r="L242" s="148"/>
      <c r="M242" s="155"/>
      <c r="N242" s="144"/>
      <c r="O242" s="144"/>
      <c r="P242" s="144"/>
      <c r="Q242" s="145"/>
      <c r="R242" s="145"/>
      <c r="S242" s="154"/>
      <c r="T242" s="155"/>
      <c r="U242" s="144"/>
      <c r="V242" s="144"/>
    </row>
    <row r="243" spans="1:22" ht="14" x14ac:dyDescent="0.15">
      <c r="A243" s="144"/>
      <c r="B243" s="144"/>
      <c r="C243" s="145"/>
      <c r="D243" s="145"/>
      <c r="E243" s="148"/>
      <c r="F243" s="155"/>
      <c r="G243" s="144"/>
      <c r="H243" s="144"/>
      <c r="I243" s="144"/>
      <c r="J243" s="145"/>
      <c r="K243" s="145"/>
      <c r="L243" s="148"/>
      <c r="M243" s="155"/>
      <c r="N243" s="144"/>
      <c r="O243" s="144"/>
      <c r="P243" s="144"/>
      <c r="Q243" s="145"/>
      <c r="R243" s="145"/>
      <c r="S243" s="154"/>
      <c r="T243" s="155"/>
      <c r="U243" s="144"/>
      <c r="V243" s="144"/>
    </row>
    <row r="244" spans="1:22" ht="14" x14ac:dyDescent="0.15">
      <c r="A244" s="144"/>
      <c r="B244" s="144"/>
      <c r="C244" s="145"/>
      <c r="D244" s="145"/>
      <c r="E244" s="148"/>
      <c r="F244" s="155"/>
      <c r="G244" s="144"/>
      <c r="H244" s="144"/>
      <c r="I244" s="144"/>
      <c r="J244" s="145"/>
      <c r="K244" s="145"/>
      <c r="L244" s="148"/>
      <c r="M244" s="155"/>
      <c r="N244" s="144"/>
      <c r="O244" s="144"/>
      <c r="P244" s="144"/>
      <c r="Q244" s="145"/>
      <c r="R244" s="145"/>
      <c r="S244" s="154"/>
      <c r="T244" s="155"/>
      <c r="U244" s="144"/>
      <c r="V244" s="144"/>
    </row>
    <row r="245" spans="1:22" ht="14" x14ac:dyDescent="0.15">
      <c r="A245" s="144"/>
      <c r="B245" s="144"/>
      <c r="C245" s="145"/>
      <c r="D245" s="145"/>
      <c r="E245" s="148"/>
      <c r="F245" s="155"/>
      <c r="G245" s="144"/>
      <c r="H245" s="144"/>
      <c r="I245" s="144"/>
      <c r="J245" s="145"/>
      <c r="K245" s="145"/>
      <c r="L245" s="148"/>
      <c r="M245" s="155"/>
      <c r="N245" s="144"/>
      <c r="O245" s="144"/>
      <c r="P245" s="144"/>
      <c r="Q245" s="145"/>
      <c r="R245" s="145"/>
      <c r="S245" s="154"/>
      <c r="T245" s="155"/>
      <c r="U245" s="144"/>
      <c r="V245" s="144"/>
    </row>
    <row r="246" spans="1:22" ht="14" x14ac:dyDescent="0.15">
      <c r="A246" s="144"/>
      <c r="B246" s="144"/>
      <c r="C246" s="145"/>
      <c r="D246" s="145"/>
      <c r="E246" s="148"/>
      <c r="F246" s="155"/>
      <c r="G246" s="144"/>
      <c r="H246" s="144"/>
      <c r="I246" s="144"/>
      <c r="J246" s="145"/>
      <c r="K246" s="145"/>
      <c r="L246" s="148"/>
      <c r="M246" s="155"/>
      <c r="N246" s="144"/>
      <c r="O246" s="144"/>
      <c r="P246" s="144"/>
      <c r="Q246" s="145"/>
      <c r="R246" s="145"/>
      <c r="S246" s="154"/>
      <c r="T246" s="155"/>
      <c r="U246" s="144"/>
      <c r="V246" s="144"/>
    </row>
    <row r="247" spans="1:22" ht="14" x14ac:dyDescent="0.15">
      <c r="A247" s="144"/>
      <c r="B247" s="144"/>
      <c r="C247" s="145"/>
      <c r="D247" s="145"/>
      <c r="E247" s="148"/>
      <c r="F247" s="155"/>
      <c r="G247" s="144"/>
      <c r="H247" s="144"/>
      <c r="I247" s="144"/>
      <c r="J247" s="145"/>
      <c r="K247" s="145"/>
      <c r="L247" s="148"/>
      <c r="M247" s="155"/>
      <c r="N247" s="144"/>
      <c r="O247" s="144"/>
      <c r="P247" s="144"/>
      <c r="Q247" s="145"/>
      <c r="R247" s="145"/>
      <c r="S247" s="154"/>
      <c r="T247" s="155"/>
      <c r="U247" s="144"/>
      <c r="V247" s="144"/>
    </row>
    <row r="248" spans="1:22" ht="14" x14ac:dyDescent="0.15">
      <c r="A248" s="144"/>
      <c r="B248" s="144"/>
      <c r="C248" s="145"/>
      <c r="D248" s="145"/>
      <c r="E248" s="148"/>
      <c r="F248" s="155"/>
      <c r="G248" s="144"/>
      <c r="H248" s="144"/>
      <c r="I248" s="144"/>
      <c r="J248" s="145"/>
      <c r="K248" s="145"/>
      <c r="L248" s="148"/>
      <c r="M248" s="155"/>
      <c r="N248" s="144"/>
      <c r="O248" s="144"/>
      <c r="P248" s="144"/>
      <c r="Q248" s="145"/>
      <c r="R248" s="145"/>
      <c r="S248" s="154"/>
      <c r="T248" s="155"/>
      <c r="U248" s="144"/>
      <c r="V248" s="144"/>
    </row>
    <row r="249" spans="1:22" ht="14" x14ac:dyDescent="0.15">
      <c r="A249" s="144"/>
      <c r="B249" s="144"/>
      <c r="C249" s="145"/>
      <c r="D249" s="145"/>
      <c r="E249" s="148"/>
      <c r="F249" s="155"/>
      <c r="G249" s="144"/>
      <c r="H249" s="144"/>
      <c r="I249" s="144"/>
      <c r="J249" s="145"/>
      <c r="K249" s="145"/>
      <c r="L249" s="148"/>
      <c r="M249" s="155"/>
      <c r="N249" s="144"/>
      <c r="O249" s="144"/>
      <c r="P249" s="144"/>
      <c r="Q249" s="145"/>
      <c r="R249" s="145"/>
      <c r="S249" s="154"/>
      <c r="T249" s="155"/>
      <c r="U249" s="144"/>
      <c r="V249" s="144"/>
    </row>
    <row r="250" spans="1:22" ht="14" x14ac:dyDescent="0.15">
      <c r="A250" s="144"/>
      <c r="B250" s="144"/>
      <c r="C250" s="145"/>
      <c r="D250" s="145"/>
      <c r="E250" s="148"/>
      <c r="F250" s="155"/>
      <c r="G250" s="144"/>
      <c r="H250" s="144"/>
      <c r="I250" s="144"/>
      <c r="J250" s="145"/>
      <c r="K250" s="145"/>
      <c r="L250" s="148"/>
      <c r="M250" s="155"/>
      <c r="N250" s="144"/>
      <c r="O250" s="144"/>
      <c r="P250" s="144"/>
      <c r="Q250" s="145"/>
      <c r="R250" s="145"/>
      <c r="S250" s="154"/>
      <c r="T250" s="155"/>
      <c r="U250" s="144"/>
      <c r="V250" s="144"/>
    </row>
    <row r="251" spans="1:22" ht="14" x14ac:dyDescent="0.15">
      <c r="A251" s="144"/>
      <c r="B251" s="144"/>
      <c r="C251" s="145"/>
      <c r="D251" s="145"/>
      <c r="E251" s="148"/>
      <c r="F251" s="155"/>
      <c r="G251" s="144"/>
      <c r="H251" s="144"/>
      <c r="I251" s="144"/>
      <c r="J251" s="145"/>
      <c r="K251" s="145"/>
      <c r="L251" s="148"/>
      <c r="M251" s="155"/>
      <c r="N251" s="144"/>
      <c r="O251" s="144"/>
      <c r="P251" s="144"/>
      <c r="Q251" s="145"/>
      <c r="R251" s="145"/>
      <c r="S251" s="154"/>
      <c r="T251" s="155"/>
      <c r="U251" s="144"/>
      <c r="V251" s="144"/>
    </row>
    <row r="252" spans="1:22" ht="14" x14ac:dyDescent="0.15">
      <c r="A252" s="144"/>
      <c r="B252" s="144"/>
      <c r="C252" s="145"/>
      <c r="D252" s="145"/>
      <c r="E252" s="148"/>
      <c r="F252" s="155"/>
      <c r="G252" s="144"/>
      <c r="H252" s="144"/>
      <c r="I252" s="144"/>
      <c r="J252" s="145"/>
      <c r="K252" s="145"/>
      <c r="L252" s="148"/>
      <c r="M252" s="155"/>
      <c r="N252" s="144"/>
      <c r="O252" s="144"/>
      <c r="P252" s="144"/>
      <c r="Q252" s="145"/>
      <c r="R252" s="145"/>
      <c r="S252" s="154"/>
      <c r="T252" s="155"/>
      <c r="U252" s="144"/>
      <c r="V252" s="144"/>
    </row>
    <row r="253" spans="1:22" ht="14" x14ac:dyDescent="0.15">
      <c r="A253" s="144"/>
      <c r="B253" s="144"/>
      <c r="C253" s="145"/>
      <c r="D253" s="145"/>
      <c r="E253" s="148"/>
      <c r="F253" s="155"/>
      <c r="G253" s="144"/>
      <c r="H253" s="144"/>
      <c r="I253" s="144"/>
      <c r="J253" s="145"/>
      <c r="K253" s="145"/>
      <c r="L253" s="148"/>
      <c r="M253" s="155"/>
      <c r="N253" s="144"/>
      <c r="O253" s="144"/>
      <c r="P253" s="144"/>
      <c r="Q253" s="145"/>
      <c r="R253" s="145"/>
      <c r="S253" s="154"/>
      <c r="T253" s="155"/>
      <c r="U253" s="144"/>
      <c r="V253" s="144"/>
    </row>
    <row r="254" spans="1:22" ht="14" x14ac:dyDescent="0.15">
      <c r="A254" s="144"/>
      <c r="B254" s="144"/>
      <c r="C254" s="145"/>
      <c r="D254" s="145"/>
      <c r="E254" s="148"/>
      <c r="F254" s="155"/>
      <c r="G254" s="144"/>
      <c r="H254" s="144"/>
      <c r="I254" s="144"/>
      <c r="J254" s="145"/>
      <c r="K254" s="145"/>
      <c r="L254" s="148"/>
      <c r="M254" s="155"/>
      <c r="N254" s="144"/>
      <c r="O254" s="144"/>
      <c r="P254" s="144"/>
      <c r="Q254" s="145"/>
      <c r="R254" s="145"/>
      <c r="S254" s="154"/>
      <c r="T254" s="155"/>
      <c r="U254" s="144"/>
      <c r="V254" s="144"/>
    </row>
    <row r="255" spans="1:22" ht="14" x14ac:dyDescent="0.15">
      <c r="A255" s="144"/>
      <c r="B255" s="144"/>
      <c r="C255" s="145"/>
      <c r="D255" s="145"/>
      <c r="E255" s="148"/>
      <c r="F255" s="155"/>
      <c r="G255" s="144"/>
      <c r="H255" s="144"/>
      <c r="I255" s="144"/>
      <c r="J255" s="145"/>
      <c r="K255" s="145"/>
      <c r="L255" s="148"/>
      <c r="M255" s="155"/>
      <c r="N255" s="144"/>
      <c r="O255" s="144"/>
      <c r="P255" s="144"/>
      <c r="Q255" s="145"/>
      <c r="R255" s="145"/>
      <c r="S255" s="154"/>
      <c r="T255" s="155"/>
      <c r="U255" s="144"/>
      <c r="V255" s="144"/>
    </row>
    <row r="256" spans="1:22" ht="14" x14ac:dyDescent="0.15">
      <c r="A256" s="144"/>
      <c r="B256" s="144"/>
      <c r="C256" s="145"/>
      <c r="D256" s="145"/>
      <c r="E256" s="148"/>
      <c r="F256" s="155"/>
      <c r="G256" s="144"/>
      <c r="H256" s="144"/>
      <c r="I256" s="144"/>
      <c r="J256" s="145"/>
      <c r="K256" s="145"/>
      <c r="L256" s="148"/>
      <c r="M256" s="155"/>
      <c r="N256" s="144"/>
      <c r="O256" s="144"/>
      <c r="P256" s="144"/>
      <c r="Q256" s="145"/>
      <c r="R256" s="145"/>
      <c r="S256" s="154"/>
      <c r="T256" s="155"/>
      <c r="U256" s="144"/>
      <c r="V256" s="144"/>
    </row>
    <row r="257" spans="1:22" ht="14" x14ac:dyDescent="0.15">
      <c r="A257" s="144"/>
      <c r="B257" s="144"/>
      <c r="C257" s="145"/>
      <c r="D257" s="145"/>
      <c r="E257" s="148"/>
      <c r="F257" s="155"/>
      <c r="G257" s="144"/>
      <c r="H257" s="144"/>
      <c r="I257" s="144"/>
      <c r="J257" s="145"/>
      <c r="K257" s="145"/>
      <c r="L257" s="148"/>
      <c r="M257" s="155"/>
      <c r="N257" s="144"/>
      <c r="O257" s="144"/>
      <c r="P257" s="144"/>
      <c r="Q257" s="145"/>
      <c r="R257" s="145"/>
      <c r="S257" s="154"/>
      <c r="T257" s="155"/>
      <c r="U257" s="144"/>
      <c r="V257" s="144"/>
    </row>
    <row r="258" spans="1:22" ht="14" x14ac:dyDescent="0.15">
      <c r="A258" s="144"/>
      <c r="B258" s="144"/>
      <c r="C258" s="145"/>
      <c r="D258" s="145"/>
      <c r="E258" s="148"/>
      <c r="F258" s="155"/>
      <c r="G258" s="144"/>
      <c r="H258" s="144"/>
      <c r="I258" s="144"/>
      <c r="J258" s="145"/>
      <c r="K258" s="145"/>
      <c r="L258" s="148"/>
      <c r="M258" s="155"/>
      <c r="N258" s="144"/>
      <c r="O258" s="144"/>
      <c r="P258" s="144"/>
      <c r="Q258" s="145"/>
      <c r="R258" s="145"/>
      <c r="S258" s="154"/>
      <c r="T258" s="155"/>
      <c r="U258" s="144"/>
      <c r="V258" s="144"/>
    </row>
    <row r="259" spans="1:22" ht="14" x14ac:dyDescent="0.15">
      <c r="A259" s="144"/>
      <c r="B259" s="144"/>
      <c r="C259" s="145"/>
      <c r="D259" s="145"/>
      <c r="E259" s="148"/>
      <c r="F259" s="155"/>
      <c r="G259" s="144"/>
      <c r="H259" s="144"/>
      <c r="I259" s="144"/>
      <c r="J259" s="145"/>
      <c r="K259" s="145"/>
      <c r="L259" s="148"/>
      <c r="M259" s="155"/>
      <c r="N259" s="144"/>
      <c r="O259" s="144"/>
      <c r="P259" s="144"/>
      <c r="Q259" s="145"/>
      <c r="R259" s="145"/>
      <c r="S259" s="154"/>
      <c r="T259" s="155"/>
      <c r="U259" s="144"/>
      <c r="V259" s="144"/>
    </row>
    <row r="260" spans="1:22" ht="14" x14ac:dyDescent="0.15">
      <c r="A260" s="144"/>
      <c r="B260" s="144"/>
      <c r="C260" s="145"/>
      <c r="D260" s="145"/>
      <c r="E260" s="148"/>
      <c r="F260" s="155"/>
      <c r="G260" s="144"/>
      <c r="H260" s="144"/>
      <c r="I260" s="144"/>
      <c r="J260" s="145"/>
      <c r="K260" s="145"/>
      <c r="L260" s="148"/>
      <c r="M260" s="155"/>
      <c r="N260" s="144"/>
      <c r="O260" s="144"/>
      <c r="P260" s="144"/>
      <c r="Q260" s="145"/>
      <c r="R260" s="145"/>
      <c r="S260" s="154"/>
      <c r="T260" s="155"/>
      <c r="U260" s="144"/>
      <c r="V260" s="144"/>
    </row>
    <row r="261" spans="1:22" ht="14" x14ac:dyDescent="0.15">
      <c r="A261" s="144"/>
      <c r="B261" s="144"/>
      <c r="C261" s="145"/>
      <c r="D261" s="145"/>
      <c r="E261" s="148"/>
      <c r="F261" s="155"/>
      <c r="G261" s="144"/>
      <c r="H261" s="144"/>
      <c r="I261" s="144"/>
      <c r="J261" s="145"/>
      <c r="K261" s="145"/>
      <c r="L261" s="148"/>
      <c r="M261" s="155"/>
      <c r="N261" s="144"/>
      <c r="O261" s="144"/>
      <c r="P261" s="144"/>
      <c r="Q261" s="145"/>
      <c r="R261" s="145"/>
      <c r="S261" s="154"/>
      <c r="T261" s="155"/>
      <c r="U261" s="144"/>
      <c r="V261" s="144"/>
    </row>
    <row r="262" spans="1:22" ht="14" x14ac:dyDescent="0.15">
      <c r="A262" s="144"/>
      <c r="B262" s="144"/>
      <c r="C262" s="145"/>
      <c r="D262" s="145"/>
      <c r="E262" s="148"/>
      <c r="F262" s="155"/>
      <c r="G262" s="144"/>
      <c r="H262" s="144"/>
      <c r="I262" s="144"/>
      <c r="J262" s="145"/>
      <c r="K262" s="145"/>
      <c r="L262" s="148"/>
      <c r="M262" s="155"/>
      <c r="N262" s="144"/>
      <c r="O262" s="144"/>
      <c r="P262" s="144"/>
      <c r="Q262" s="145"/>
      <c r="R262" s="145"/>
      <c r="S262" s="154"/>
      <c r="T262" s="155"/>
      <c r="U262" s="144"/>
      <c r="V262" s="144"/>
    </row>
    <row r="263" spans="1:22" ht="14" x14ac:dyDescent="0.15">
      <c r="A263" s="144"/>
      <c r="B263" s="144"/>
      <c r="C263" s="145"/>
      <c r="D263" s="145"/>
      <c r="E263" s="148"/>
      <c r="F263" s="155"/>
      <c r="G263" s="144"/>
      <c r="H263" s="144"/>
      <c r="I263" s="144"/>
      <c r="J263" s="145"/>
      <c r="K263" s="145"/>
      <c r="L263" s="148"/>
      <c r="M263" s="155"/>
      <c r="N263" s="144"/>
      <c r="O263" s="144"/>
      <c r="P263" s="144"/>
      <c r="Q263" s="145"/>
      <c r="R263" s="145"/>
      <c r="S263" s="154"/>
      <c r="T263" s="155"/>
      <c r="U263" s="144"/>
      <c r="V263" s="144"/>
    </row>
    <row r="264" spans="1:22" ht="14" x14ac:dyDescent="0.15">
      <c r="A264" s="144"/>
      <c r="B264" s="144"/>
      <c r="C264" s="145"/>
      <c r="D264" s="145"/>
      <c r="E264" s="148"/>
      <c r="F264" s="155"/>
      <c r="G264" s="144"/>
      <c r="H264" s="144"/>
      <c r="I264" s="144"/>
      <c r="J264" s="145"/>
      <c r="K264" s="145"/>
      <c r="L264" s="148"/>
      <c r="M264" s="155"/>
      <c r="N264" s="144"/>
      <c r="O264" s="144"/>
      <c r="P264" s="144"/>
      <c r="Q264" s="145"/>
      <c r="R264" s="145"/>
      <c r="S264" s="154"/>
      <c r="T264" s="155"/>
      <c r="U264" s="144"/>
      <c r="V264" s="144"/>
    </row>
    <row r="265" spans="1:22" ht="14" x14ac:dyDescent="0.15">
      <c r="A265" s="144"/>
      <c r="B265" s="144"/>
      <c r="C265" s="145"/>
      <c r="D265" s="145"/>
      <c r="E265" s="148"/>
      <c r="F265" s="155"/>
      <c r="G265" s="144"/>
      <c r="H265" s="144"/>
      <c r="I265" s="144"/>
      <c r="J265" s="145"/>
      <c r="K265" s="145"/>
      <c r="L265" s="148"/>
      <c r="M265" s="155"/>
      <c r="N265" s="144"/>
      <c r="O265" s="144"/>
      <c r="P265" s="144"/>
      <c r="Q265" s="145"/>
      <c r="R265" s="145"/>
      <c r="S265" s="154"/>
      <c r="T265" s="155"/>
      <c r="U265" s="144"/>
      <c r="V265" s="144"/>
    </row>
    <row r="266" spans="1:22" ht="14" x14ac:dyDescent="0.15">
      <c r="A266" s="144"/>
      <c r="B266" s="144"/>
      <c r="C266" s="145"/>
      <c r="D266" s="145"/>
      <c r="E266" s="148"/>
      <c r="F266" s="155"/>
      <c r="G266" s="144"/>
      <c r="H266" s="144"/>
      <c r="I266" s="144"/>
      <c r="J266" s="145"/>
      <c r="K266" s="145"/>
      <c r="L266" s="148"/>
      <c r="M266" s="155"/>
      <c r="N266" s="144"/>
      <c r="O266" s="144"/>
      <c r="P266" s="144"/>
      <c r="Q266" s="145"/>
      <c r="R266" s="145"/>
      <c r="S266" s="154"/>
      <c r="T266" s="155"/>
      <c r="U266" s="144"/>
      <c r="V266" s="144"/>
    </row>
    <row r="267" spans="1:22" ht="14" x14ac:dyDescent="0.15">
      <c r="A267" s="144"/>
      <c r="B267" s="144"/>
      <c r="C267" s="145"/>
      <c r="D267" s="145"/>
      <c r="E267" s="148"/>
      <c r="F267" s="155"/>
      <c r="G267" s="144"/>
      <c r="H267" s="144"/>
      <c r="I267" s="144"/>
      <c r="J267" s="145"/>
      <c r="K267" s="145"/>
      <c r="L267" s="148"/>
      <c r="M267" s="155"/>
      <c r="N267" s="144"/>
      <c r="O267" s="144"/>
      <c r="P267" s="144"/>
      <c r="Q267" s="145"/>
      <c r="R267" s="145"/>
      <c r="S267" s="154"/>
      <c r="T267" s="155"/>
      <c r="U267" s="144"/>
      <c r="V267" s="144"/>
    </row>
    <row r="268" spans="1:22" ht="14" x14ac:dyDescent="0.15">
      <c r="A268" s="144"/>
      <c r="B268" s="144"/>
      <c r="C268" s="145"/>
      <c r="D268" s="145"/>
      <c r="E268" s="148"/>
      <c r="F268" s="155"/>
      <c r="G268" s="144"/>
      <c r="H268" s="144"/>
      <c r="I268" s="144"/>
      <c r="J268" s="145"/>
      <c r="K268" s="145"/>
      <c r="L268" s="148"/>
      <c r="M268" s="155"/>
      <c r="N268" s="144"/>
      <c r="O268" s="144"/>
      <c r="P268" s="144"/>
      <c r="Q268" s="145"/>
      <c r="R268" s="145"/>
      <c r="S268" s="154"/>
      <c r="T268" s="155"/>
      <c r="U268" s="144"/>
      <c r="V268" s="144"/>
    </row>
    <row r="269" spans="1:22" ht="14" x14ac:dyDescent="0.15">
      <c r="A269" s="144"/>
      <c r="B269" s="144"/>
      <c r="C269" s="145"/>
      <c r="D269" s="145"/>
      <c r="E269" s="148"/>
      <c r="F269" s="155"/>
      <c r="G269" s="144"/>
      <c r="H269" s="144"/>
      <c r="I269" s="144"/>
      <c r="J269" s="145"/>
      <c r="K269" s="145"/>
      <c r="L269" s="148"/>
      <c r="M269" s="155"/>
      <c r="N269" s="144"/>
      <c r="O269" s="144"/>
      <c r="P269" s="144"/>
      <c r="Q269" s="145"/>
      <c r="R269" s="145"/>
      <c r="S269" s="154"/>
      <c r="T269" s="155"/>
      <c r="U269" s="144"/>
      <c r="V269" s="144"/>
    </row>
    <row r="270" spans="1:22" ht="14" x14ac:dyDescent="0.15">
      <c r="A270" s="144"/>
      <c r="B270" s="144"/>
      <c r="C270" s="145"/>
      <c r="D270" s="145"/>
      <c r="E270" s="148"/>
      <c r="F270" s="155"/>
      <c r="G270" s="144"/>
      <c r="H270" s="144"/>
      <c r="I270" s="144"/>
      <c r="J270" s="145"/>
      <c r="K270" s="145"/>
      <c r="L270" s="148"/>
      <c r="M270" s="155"/>
      <c r="N270" s="144"/>
      <c r="O270" s="144"/>
      <c r="P270" s="144"/>
      <c r="Q270" s="145"/>
      <c r="R270" s="145"/>
      <c r="S270" s="154"/>
      <c r="T270" s="155"/>
      <c r="U270" s="144"/>
      <c r="V270" s="144"/>
    </row>
    <row r="271" spans="1:22" ht="14" x14ac:dyDescent="0.15">
      <c r="A271" s="144"/>
      <c r="B271" s="144"/>
      <c r="C271" s="145"/>
      <c r="D271" s="145"/>
      <c r="E271" s="148"/>
      <c r="F271" s="155"/>
      <c r="G271" s="144"/>
      <c r="H271" s="144"/>
      <c r="I271" s="144"/>
      <c r="J271" s="145"/>
      <c r="K271" s="145"/>
      <c r="L271" s="148"/>
      <c r="M271" s="155"/>
      <c r="N271" s="144"/>
      <c r="O271" s="144"/>
      <c r="P271" s="144"/>
      <c r="Q271" s="145"/>
      <c r="R271" s="145"/>
      <c r="S271" s="154"/>
      <c r="T271" s="155"/>
      <c r="U271" s="144"/>
      <c r="V271" s="144"/>
    </row>
    <row r="272" spans="1:22" ht="14" x14ac:dyDescent="0.15">
      <c r="A272" s="144"/>
      <c r="B272" s="144"/>
      <c r="C272" s="145"/>
      <c r="D272" s="145"/>
      <c r="E272" s="148"/>
      <c r="F272" s="155"/>
      <c r="G272" s="144"/>
      <c r="H272" s="144"/>
      <c r="I272" s="144"/>
      <c r="J272" s="145"/>
      <c r="K272" s="145"/>
      <c r="L272" s="148"/>
      <c r="M272" s="155"/>
      <c r="N272" s="144"/>
      <c r="O272" s="144"/>
      <c r="P272" s="144"/>
      <c r="Q272" s="145"/>
      <c r="R272" s="145"/>
      <c r="S272" s="154"/>
      <c r="T272" s="155"/>
      <c r="U272" s="144"/>
      <c r="V272" s="144"/>
    </row>
    <row r="273" spans="1:22" ht="14" x14ac:dyDescent="0.15">
      <c r="A273" s="144"/>
      <c r="B273" s="144"/>
      <c r="C273" s="145"/>
      <c r="D273" s="145"/>
      <c r="E273" s="148"/>
      <c r="F273" s="155"/>
      <c r="G273" s="144"/>
      <c r="H273" s="144"/>
      <c r="I273" s="144"/>
      <c r="J273" s="145"/>
      <c r="K273" s="145"/>
      <c r="L273" s="148"/>
      <c r="M273" s="155"/>
      <c r="N273" s="144"/>
      <c r="O273" s="144"/>
      <c r="P273" s="144"/>
      <c r="Q273" s="145"/>
      <c r="R273" s="145"/>
      <c r="S273" s="154"/>
      <c r="T273" s="155"/>
      <c r="U273" s="144"/>
      <c r="V273" s="144"/>
    </row>
    <row r="274" spans="1:22" ht="14" x14ac:dyDescent="0.15">
      <c r="A274" s="144"/>
      <c r="B274" s="144"/>
      <c r="C274" s="145"/>
      <c r="D274" s="145"/>
      <c r="E274" s="148"/>
      <c r="F274" s="155"/>
      <c r="G274" s="144"/>
      <c r="H274" s="144"/>
      <c r="I274" s="144"/>
      <c r="J274" s="145"/>
      <c r="K274" s="145"/>
      <c r="L274" s="148"/>
      <c r="M274" s="155"/>
      <c r="N274" s="144"/>
      <c r="O274" s="144"/>
      <c r="P274" s="144"/>
      <c r="Q274" s="145"/>
      <c r="R274" s="145"/>
      <c r="S274" s="154"/>
      <c r="T274" s="155"/>
      <c r="U274" s="144"/>
      <c r="V274" s="144"/>
    </row>
    <row r="275" spans="1:22" ht="14" x14ac:dyDescent="0.15">
      <c r="A275" s="144"/>
      <c r="B275" s="144"/>
      <c r="C275" s="145"/>
      <c r="D275" s="145"/>
      <c r="E275" s="148"/>
      <c r="F275" s="155"/>
      <c r="G275" s="144"/>
      <c r="H275" s="144"/>
      <c r="I275" s="144"/>
      <c r="J275" s="145"/>
      <c r="K275" s="145"/>
      <c r="L275" s="148"/>
      <c r="M275" s="155"/>
      <c r="N275" s="144"/>
      <c r="O275" s="144"/>
      <c r="P275" s="144"/>
      <c r="Q275" s="145"/>
      <c r="R275" s="145"/>
      <c r="S275" s="154"/>
      <c r="T275" s="155"/>
      <c r="U275" s="144"/>
      <c r="V275" s="144"/>
    </row>
    <row r="276" spans="1:22" ht="14" x14ac:dyDescent="0.15">
      <c r="A276" s="144"/>
      <c r="B276" s="144"/>
      <c r="C276" s="145"/>
      <c r="D276" s="145"/>
      <c r="E276" s="148"/>
      <c r="F276" s="155"/>
      <c r="G276" s="144"/>
      <c r="H276" s="144"/>
      <c r="I276" s="144"/>
      <c r="J276" s="145"/>
      <c r="K276" s="145"/>
      <c r="L276" s="148"/>
      <c r="M276" s="155"/>
      <c r="N276" s="144"/>
      <c r="O276" s="144"/>
      <c r="P276" s="144"/>
      <c r="Q276" s="145"/>
      <c r="R276" s="145"/>
      <c r="S276" s="154"/>
      <c r="T276" s="155"/>
      <c r="U276" s="144"/>
      <c r="V276" s="144"/>
    </row>
    <row r="277" spans="1:22" ht="14" x14ac:dyDescent="0.15">
      <c r="A277" s="144"/>
      <c r="B277" s="144"/>
      <c r="C277" s="145"/>
      <c r="D277" s="145"/>
      <c r="E277" s="148"/>
      <c r="F277" s="155"/>
      <c r="G277" s="144"/>
      <c r="H277" s="144"/>
      <c r="I277" s="144"/>
      <c r="J277" s="145"/>
      <c r="K277" s="145"/>
      <c r="L277" s="148"/>
      <c r="M277" s="155"/>
      <c r="N277" s="144"/>
      <c r="O277" s="144"/>
      <c r="P277" s="144"/>
      <c r="Q277" s="145"/>
      <c r="R277" s="145"/>
      <c r="S277" s="154"/>
      <c r="T277" s="155"/>
      <c r="U277" s="144"/>
      <c r="V277" s="144"/>
    </row>
    <row r="278" spans="1:22" ht="14" x14ac:dyDescent="0.15">
      <c r="A278" s="144"/>
      <c r="B278" s="144"/>
      <c r="C278" s="145"/>
      <c r="D278" s="145"/>
      <c r="E278" s="148"/>
      <c r="F278" s="155"/>
      <c r="G278" s="144"/>
      <c r="H278" s="144"/>
      <c r="I278" s="144"/>
      <c r="J278" s="145"/>
      <c r="K278" s="145"/>
      <c r="L278" s="148"/>
      <c r="M278" s="155"/>
      <c r="N278" s="144"/>
      <c r="O278" s="144"/>
      <c r="P278" s="144"/>
      <c r="Q278" s="145"/>
      <c r="R278" s="145"/>
      <c r="S278" s="154"/>
      <c r="T278" s="155"/>
      <c r="U278" s="144"/>
      <c r="V278" s="144"/>
    </row>
    <row r="279" spans="1:22" ht="14" x14ac:dyDescent="0.15">
      <c r="A279" s="144"/>
      <c r="B279" s="144"/>
      <c r="C279" s="145"/>
      <c r="D279" s="145"/>
      <c r="E279" s="148"/>
      <c r="F279" s="155"/>
      <c r="G279" s="144"/>
      <c r="H279" s="144"/>
      <c r="I279" s="144"/>
      <c r="J279" s="145"/>
      <c r="K279" s="145"/>
      <c r="L279" s="148"/>
      <c r="M279" s="155"/>
      <c r="N279" s="144"/>
      <c r="O279" s="144"/>
      <c r="P279" s="144"/>
      <c r="Q279" s="145"/>
      <c r="R279" s="145"/>
      <c r="S279" s="154"/>
      <c r="T279" s="155"/>
      <c r="U279" s="144"/>
      <c r="V279" s="144"/>
    </row>
    <row r="280" spans="1:22" ht="14" x14ac:dyDescent="0.15">
      <c r="A280" s="144"/>
      <c r="B280" s="144"/>
      <c r="C280" s="145"/>
      <c r="D280" s="145"/>
      <c r="E280" s="148"/>
      <c r="F280" s="155"/>
      <c r="G280" s="144"/>
      <c r="H280" s="144"/>
      <c r="I280" s="144"/>
      <c r="J280" s="145"/>
      <c r="K280" s="145"/>
      <c r="L280" s="148"/>
      <c r="M280" s="155"/>
      <c r="N280" s="144"/>
      <c r="O280" s="144"/>
      <c r="P280" s="144"/>
      <c r="Q280" s="145"/>
      <c r="R280" s="145"/>
      <c r="S280" s="154"/>
      <c r="T280" s="155"/>
      <c r="U280" s="144"/>
      <c r="V280" s="144"/>
    </row>
    <row r="281" spans="1:22" ht="14" x14ac:dyDescent="0.15">
      <c r="A281" s="144"/>
      <c r="B281" s="144"/>
      <c r="C281" s="145"/>
      <c r="D281" s="145"/>
      <c r="E281" s="148"/>
      <c r="F281" s="155"/>
      <c r="G281" s="144"/>
      <c r="H281" s="144"/>
      <c r="I281" s="144"/>
      <c r="J281" s="145"/>
      <c r="K281" s="145"/>
      <c r="L281" s="148"/>
      <c r="M281" s="155"/>
      <c r="N281" s="144"/>
      <c r="O281" s="144"/>
      <c r="P281" s="144"/>
      <c r="Q281" s="145"/>
      <c r="R281" s="145"/>
      <c r="S281" s="154"/>
      <c r="T281" s="155"/>
      <c r="U281" s="144"/>
      <c r="V281" s="144"/>
    </row>
    <row r="282" spans="1:22" ht="14" x14ac:dyDescent="0.15">
      <c r="A282" s="144"/>
      <c r="B282" s="144"/>
      <c r="C282" s="145"/>
      <c r="D282" s="145"/>
      <c r="E282" s="148"/>
      <c r="F282" s="155"/>
      <c r="G282" s="144"/>
      <c r="H282" s="144"/>
      <c r="I282" s="144"/>
      <c r="J282" s="145"/>
      <c r="K282" s="145"/>
      <c r="L282" s="148"/>
      <c r="M282" s="155"/>
      <c r="N282" s="144"/>
      <c r="O282" s="144"/>
      <c r="P282" s="144"/>
      <c r="Q282" s="145"/>
      <c r="R282" s="145"/>
      <c r="S282" s="154"/>
      <c r="T282" s="155"/>
      <c r="U282" s="144"/>
      <c r="V282" s="144"/>
    </row>
    <row r="283" spans="1:22" ht="14" x14ac:dyDescent="0.15">
      <c r="A283" s="144"/>
      <c r="B283" s="144"/>
      <c r="C283" s="145"/>
      <c r="D283" s="145"/>
      <c r="E283" s="148"/>
      <c r="F283" s="155"/>
      <c r="G283" s="144"/>
      <c r="H283" s="144"/>
      <c r="I283" s="144"/>
      <c r="J283" s="145"/>
      <c r="K283" s="145"/>
      <c r="L283" s="148"/>
      <c r="M283" s="155"/>
      <c r="N283" s="144"/>
      <c r="O283" s="144"/>
      <c r="P283" s="144"/>
      <c r="Q283" s="145"/>
      <c r="R283" s="145"/>
      <c r="S283" s="154"/>
      <c r="T283" s="155"/>
      <c r="U283" s="144"/>
      <c r="V283" s="144"/>
    </row>
    <row r="284" spans="1:22" ht="14" x14ac:dyDescent="0.15">
      <c r="A284" s="144"/>
      <c r="B284" s="144"/>
      <c r="C284" s="145"/>
      <c r="D284" s="145"/>
      <c r="E284" s="148"/>
      <c r="F284" s="155"/>
      <c r="G284" s="144"/>
      <c r="H284" s="144"/>
      <c r="I284" s="144"/>
      <c r="J284" s="145"/>
      <c r="K284" s="145"/>
      <c r="L284" s="148"/>
      <c r="M284" s="155"/>
      <c r="N284" s="144"/>
      <c r="O284" s="144"/>
      <c r="P284" s="144"/>
      <c r="Q284" s="145"/>
      <c r="R284" s="145"/>
      <c r="S284" s="154"/>
      <c r="T284" s="155"/>
      <c r="U284" s="144"/>
      <c r="V284" s="144"/>
    </row>
    <row r="285" spans="1:22" ht="14" x14ac:dyDescent="0.15">
      <c r="A285" s="144"/>
      <c r="B285" s="144"/>
      <c r="C285" s="145"/>
      <c r="D285" s="145"/>
      <c r="E285" s="148"/>
      <c r="F285" s="155"/>
      <c r="G285" s="144"/>
      <c r="H285" s="144"/>
      <c r="I285" s="144"/>
      <c r="J285" s="145"/>
      <c r="K285" s="145"/>
      <c r="L285" s="148"/>
      <c r="M285" s="155"/>
      <c r="N285" s="144"/>
      <c r="O285" s="144"/>
      <c r="P285" s="144"/>
      <c r="Q285" s="145"/>
      <c r="R285" s="145"/>
      <c r="S285" s="154"/>
      <c r="T285" s="155"/>
      <c r="U285" s="144"/>
      <c r="V285" s="144"/>
    </row>
    <row r="286" spans="1:22" ht="14" x14ac:dyDescent="0.15">
      <c r="A286" s="144"/>
      <c r="B286" s="144"/>
      <c r="C286" s="145"/>
      <c r="D286" s="145"/>
      <c r="E286" s="148"/>
      <c r="F286" s="155"/>
      <c r="G286" s="144"/>
      <c r="H286" s="144"/>
      <c r="I286" s="144"/>
      <c r="J286" s="145"/>
      <c r="K286" s="145"/>
      <c r="L286" s="148"/>
      <c r="M286" s="155"/>
      <c r="N286" s="144"/>
      <c r="O286" s="144"/>
      <c r="P286" s="144"/>
      <c r="Q286" s="145"/>
      <c r="R286" s="145"/>
      <c r="S286" s="154"/>
      <c r="T286" s="155"/>
      <c r="U286" s="144"/>
      <c r="V286" s="144"/>
    </row>
    <row r="287" spans="1:22" ht="14" x14ac:dyDescent="0.15">
      <c r="A287" s="144"/>
      <c r="B287" s="144"/>
      <c r="C287" s="145"/>
      <c r="D287" s="145"/>
      <c r="E287" s="148"/>
      <c r="F287" s="155"/>
      <c r="G287" s="144"/>
      <c r="H287" s="144"/>
      <c r="I287" s="144"/>
      <c r="J287" s="145"/>
      <c r="K287" s="145"/>
      <c r="L287" s="148"/>
      <c r="M287" s="155"/>
      <c r="N287" s="144"/>
      <c r="O287" s="144"/>
      <c r="P287" s="144"/>
      <c r="Q287" s="145"/>
      <c r="R287" s="145"/>
      <c r="S287" s="154"/>
      <c r="T287" s="155"/>
      <c r="U287" s="144"/>
      <c r="V287" s="144"/>
    </row>
    <row r="288" spans="1:22" ht="14" x14ac:dyDescent="0.15">
      <c r="A288" s="144"/>
      <c r="B288" s="144"/>
      <c r="C288" s="145"/>
      <c r="D288" s="145"/>
      <c r="E288" s="148"/>
      <c r="F288" s="155"/>
      <c r="G288" s="144"/>
      <c r="H288" s="144"/>
      <c r="I288" s="144"/>
      <c r="J288" s="145"/>
      <c r="K288" s="145"/>
      <c r="L288" s="148"/>
      <c r="M288" s="155"/>
      <c r="N288" s="144"/>
      <c r="O288" s="144"/>
      <c r="P288" s="144"/>
      <c r="Q288" s="145"/>
      <c r="R288" s="145"/>
      <c r="S288" s="154"/>
      <c r="T288" s="155"/>
      <c r="U288" s="144"/>
      <c r="V288" s="144"/>
    </row>
    <row r="289" spans="1:22" ht="14" x14ac:dyDescent="0.15">
      <c r="A289" s="144"/>
      <c r="B289" s="144"/>
      <c r="C289" s="145"/>
      <c r="D289" s="145"/>
      <c r="E289" s="148"/>
      <c r="F289" s="155"/>
      <c r="G289" s="144"/>
      <c r="H289" s="144"/>
      <c r="I289" s="144"/>
      <c r="J289" s="145"/>
      <c r="K289" s="145"/>
      <c r="L289" s="148"/>
      <c r="M289" s="155"/>
      <c r="N289" s="144"/>
      <c r="O289" s="144"/>
      <c r="P289" s="144"/>
      <c r="Q289" s="145"/>
      <c r="R289" s="145"/>
      <c r="S289" s="154"/>
      <c r="T289" s="155"/>
      <c r="U289" s="144"/>
      <c r="V289" s="144"/>
    </row>
    <row r="290" spans="1:22" ht="14" x14ac:dyDescent="0.15">
      <c r="A290" s="144"/>
      <c r="B290" s="144"/>
      <c r="C290" s="145"/>
      <c r="D290" s="145"/>
      <c r="E290" s="148"/>
      <c r="F290" s="155"/>
      <c r="G290" s="144"/>
      <c r="H290" s="144"/>
      <c r="I290" s="144"/>
      <c r="J290" s="145"/>
      <c r="K290" s="145"/>
      <c r="L290" s="148"/>
      <c r="M290" s="155"/>
      <c r="N290" s="144"/>
      <c r="O290" s="144"/>
      <c r="P290" s="144"/>
      <c r="Q290" s="145"/>
      <c r="R290" s="145"/>
      <c r="S290" s="154"/>
      <c r="T290" s="155"/>
      <c r="U290" s="144"/>
      <c r="V290" s="144"/>
    </row>
    <row r="291" spans="1:22" ht="14" x14ac:dyDescent="0.15">
      <c r="A291" s="144"/>
      <c r="B291" s="144"/>
      <c r="C291" s="145"/>
      <c r="D291" s="145"/>
      <c r="E291" s="148"/>
      <c r="F291" s="155"/>
      <c r="G291" s="144"/>
      <c r="H291" s="144"/>
      <c r="I291" s="144"/>
      <c r="J291" s="145"/>
      <c r="K291" s="145"/>
      <c r="L291" s="148"/>
      <c r="M291" s="155"/>
      <c r="N291" s="144"/>
      <c r="O291" s="144"/>
      <c r="P291" s="144"/>
      <c r="Q291" s="145"/>
      <c r="R291" s="145"/>
      <c r="S291" s="154"/>
      <c r="T291" s="155"/>
      <c r="U291" s="144"/>
      <c r="V291" s="144"/>
    </row>
    <row r="292" spans="1:22" ht="14" x14ac:dyDescent="0.15">
      <c r="A292" s="144"/>
      <c r="B292" s="144"/>
      <c r="C292" s="145"/>
      <c r="D292" s="145"/>
      <c r="E292" s="148"/>
      <c r="F292" s="155"/>
      <c r="G292" s="144"/>
      <c r="H292" s="144"/>
      <c r="I292" s="144"/>
      <c r="J292" s="145"/>
      <c r="K292" s="145"/>
      <c r="L292" s="148"/>
      <c r="M292" s="155"/>
      <c r="N292" s="144"/>
      <c r="O292" s="144"/>
      <c r="P292" s="144"/>
      <c r="Q292" s="145"/>
      <c r="R292" s="145"/>
      <c r="S292" s="154"/>
      <c r="T292" s="155"/>
      <c r="U292" s="144"/>
      <c r="V292" s="144"/>
    </row>
    <row r="293" spans="1:22" ht="14" x14ac:dyDescent="0.15">
      <c r="A293" s="144"/>
      <c r="B293" s="144"/>
      <c r="C293" s="145"/>
      <c r="D293" s="145"/>
      <c r="E293" s="148"/>
      <c r="F293" s="155"/>
      <c r="G293" s="144"/>
      <c r="H293" s="144"/>
      <c r="I293" s="144"/>
      <c r="J293" s="145"/>
      <c r="K293" s="145"/>
      <c r="L293" s="148"/>
      <c r="M293" s="155"/>
      <c r="N293" s="144"/>
      <c r="O293" s="144"/>
      <c r="P293" s="144"/>
      <c r="Q293" s="145"/>
      <c r="R293" s="145"/>
      <c r="S293" s="154"/>
      <c r="T293" s="155"/>
      <c r="U293" s="144"/>
      <c r="V293" s="144"/>
    </row>
    <row r="294" spans="1:22" ht="14" x14ac:dyDescent="0.15">
      <c r="A294" s="144"/>
      <c r="B294" s="144"/>
      <c r="C294" s="145"/>
      <c r="D294" s="145"/>
      <c r="E294" s="148"/>
      <c r="F294" s="155"/>
      <c r="G294" s="144"/>
      <c r="H294" s="144"/>
      <c r="I294" s="144"/>
      <c r="J294" s="145"/>
      <c r="K294" s="145"/>
      <c r="L294" s="148"/>
      <c r="M294" s="155"/>
      <c r="N294" s="144"/>
      <c r="O294" s="144"/>
      <c r="P294" s="144"/>
      <c r="Q294" s="145"/>
      <c r="R294" s="145"/>
      <c r="S294" s="154"/>
      <c r="T294" s="155"/>
      <c r="U294" s="144"/>
      <c r="V294" s="144"/>
    </row>
    <row r="295" spans="1:22" ht="14" x14ac:dyDescent="0.15">
      <c r="A295" s="144"/>
      <c r="B295" s="144"/>
      <c r="C295" s="145"/>
      <c r="D295" s="145"/>
      <c r="E295" s="148"/>
      <c r="F295" s="155"/>
      <c r="G295" s="144"/>
      <c r="H295" s="144"/>
      <c r="I295" s="144"/>
      <c r="J295" s="145"/>
      <c r="K295" s="145"/>
      <c r="L295" s="148"/>
      <c r="M295" s="155"/>
      <c r="N295" s="144"/>
      <c r="O295" s="144"/>
      <c r="P295" s="144"/>
      <c r="Q295" s="145"/>
      <c r="R295" s="145"/>
      <c r="S295" s="154"/>
      <c r="T295" s="155"/>
      <c r="U295" s="144"/>
      <c r="V295" s="144"/>
    </row>
    <row r="296" spans="1:22" ht="14" x14ac:dyDescent="0.15">
      <c r="A296" s="144"/>
      <c r="B296" s="144"/>
      <c r="C296" s="145"/>
      <c r="D296" s="145"/>
      <c r="E296" s="148"/>
      <c r="F296" s="155"/>
      <c r="G296" s="144"/>
      <c r="H296" s="144"/>
      <c r="I296" s="144"/>
      <c r="J296" s="145"/>
      <c r="K296" s="145"/>
      <c r="L296" s="148"/>
      <c r="M296" s="155"/>
      <c r="N296" s="144"/>
      <c r="O296" s="144"/>
      <c r="P296" s="144"/>
      <c r="Q296" s="145"/>
      <c r="R296" s="145"/>
      <c r="S296" s="154"/>
      <c r="T296" s="155"/>
      <c r="U296" s="144"/>
      <c r="V296" s="144"/>
    </row>
    <row r="297" spans="1:22" ht="14" x14ac:dyDescent="0.15">
      <c r="A297" s="144"/>
      <c r="B297" s="144"/>
      <c r="C297" s="145"/>
      <c r="D297" s="145"/>
      <c r="E297" s="148"/>
      <c r="F297" s="155"/>
      <c r="G297" s="144"/>
      <c r="H297" s="144"/>
      <c r="I297" s="144"/>
      <c r="J297" s="145"/>
      <c r="K297" s="145"/>
      <c r="L297" s="148"/>
      <c r="M297" s="155"/>
      <c r="N297" s="144"/>
      <c r="O297" s="144"/>
      <c r="P297" s="144"/>
      <c r="Q297" s="145"/>
      <c r="R297" s="145"/>
      <c r="S297" s="154"/>
      <c r="T297" s="155"/>
      <c r="U297" s="144"/>
      <c r="V297" s="144"/>
    </row>
    <row r="298" spans="1:22" ht="14" x14ac:dyDescent="0.15">
      <c r="A298" s="144"/>
      <c r="B298" s="144"/>
      <c r="C298" s="145"/>
      <c r="D298" s="145"/>
      <c r="E298" s="148"/>
      <c r="F298" s="155"/>
      <c r="G298" s="144"/>
      <c r="H298" s="144"/>
      <c r="I298" s="144"/>
      <c r="J298" s="145"/>
      <c r="K298" s="145"/>
      <c r="L298" s="148"/>
      <c r="M298" s="155"/>
      <c r="N298" s="144"/>
      <c r="O298" s="144"/>
      <c r="P298" s="144"/>
      <c r="Q298" s="145"/>
      <c r="R298" s="145"/>
      <c r="S298" s="154"/>
      <c r="T298" s="155"/>
      <c r="U298" s="144"/>
      <c r="V298" s="144"/>
    </row>
    <row r="299" spans="1:22" ht="14" x14ac:dyDescent="0.15">
      <c r="A299" s="144"/>
      <c r="B299" s="144"/>
      <c r="C299" s="145"/>
      <c r="D299" s="145"/>
      <c r="E299" s="148"/>
      <c r="F299" s="155"/>
      <c r="G299" s="144"/>
      <c r="H299" s="144"/>
      <c r="I299" s="144"/>
      <c r="J299" s="145"/>
      <c r="K299" s="145"/>
      <c r="L299" s="148"/>
      <c r="M299" s="155"/>
      <c r="N299" s="144"/>
      <c r="O299" s="144"/>
      <c r="P299" s="144"/>
      <c r="Q299" s="145"/>
      <c r="R299" s="145"/>
      <c r="S299" s="154"/>
      <c r="T299" s="155"/>
      <c r="U299" s="144"/>
      <c r="V299" s="144"/>
    </row>
    <row r="300" spans="1:22" ht="14" x14ac:dyDescent="0.15">
      <c r="A300" s="144"/>
      <c r="B300" s="144"/>
      <c r="C300" s="145"/>
      <c r="D300" s="145"/>
      <c r="E300" s="148"/>
      <c r="F300" s="155"/>
      <c r="G300" s="144"/>
      <c r="H300" s="144"/>
      <c r="I300" s="144"/>
      <c r="J300" s="145"/>
      <c r="K300" s="145"/>
      <c r="L300" s="148"/>
      <c r="M300" s="155"/>
      <c r="N300" s="144"/>
      <c r="O300" s="144"/>
      <c r="P300" s="144"/>
      <c r="Q300" s="145"/>
      <c r="R300" s="145"/>
      <c r="S300" s="154"/>
      <c r="T300" s="155"/>
      <c r="U300" s="144"/>
      <c r="V300" s="144"/>
    </row>
    <row r="301" spans="1:22" ht="14" x14ac:dyDescent="0.15">
      <c r="A301" s="144"/>
      <c r="B301" s="144"/>
      <c r="C301" s="145"/>
      <c r="D301" s="145"/>
      <c r="E301" s="148"/>
      <c r="F301" s="155"/>
      <c r="G301" s="144"/>
      <c r="H301" s="144"/>
      <c r="I301" s="144"/>
      <c r="J301" s="145"/>
      <c r="K301" s="145"/>
      <c r="L301" s="148"/>
      <c r="M301" s="155"/>
      <c r="N301" s="144"/>
      <c r="O301" s="144"/>
      <c r="P301" s="144"/>
      <c r="Q301" s="145"/>
      <c r="R301" s="145"/>
      <c r="S301" s="154"/>
      <c r="T301" s="155"/>
      <c r="U301" s="144"/>
      <c r="V301" s="144"/>
    </row>
    <row r="302" spans="1:22" ht="14" x14ac:dyDescent="0.15">
      <c r="A302" s="144"/>
      <c r="B302" s="144"/>
      <c r="C302" s="145"/>
      <c r="D302" s="145"/>
      <c r="E302" s="148"/>
      <c r="F302" s="155"/>
      <c r="G302" s="144"/>
      <c r="H302" s="144"/>
      <c r="I302" s="144"/>
      <c r="J302" s="145"/>
      <c r="K302" s="145"/>
      <c r="L302" s="148"/>
      <c r="M302" s="155"/>
      <c r="N302" s="144"/>
      <c r="O302" s="144"/>
      <c r="P302" s="144"/>
      <c r="Q302" s="145"/>
      <c r="R302" s="145"/>
      <c r="S302" s="154"/>
      <c r="T302" s="155"/>
      <c r="U302" s="144"/>
      <c r="V302" s="144"/>
    </row>
    <row r="303" spans="1:22" ht="14" x14ac:dyDescent="0.15">
      <c r="A303" s="144"/>
      <c r="B303" s="144"/>
      <c r="C303" s="145"/>
      <c r="D303" s="145"/>
      <c r="E303" s="148"/>
      <c r="F303" s="155"/>
      <c r="G303" s="144"/>
      <c r="H303" s="144"/>
      <c r="I303" s="144"/>
      <c r="J303" s="145"/>
      <c r="K303" s="145"/>
      <c r="L303" s="148"/>
      <c r="M303" s="155"/>
      <c r="N303" s="144"/>
      <c r="O303" s="144"/>
      <c r="P303" s="144"/>
      <c r="Q303" s="145"/>
      <c r="R303" s="145"/>
      <c r="S303" s="154"/>
      <c r="T303" s="155"/>
      <c r="U303" s="144"/>
      <c r="V303" s="144"/>
    </row>
    <row r="304" spans="1:22" ht="14" x14ac:dyDescent="0.15">
      <c r="A304" s="144"/>
      <c r="B304" s="144"/>
      <c r="C304" s="145"/>
      <c r="D304" s="145"/>
      <c r="E304" s="148"/>
      <c r="F304" s="155"/>
      <c r="G304" s="144"/>
      <c r="H304" s="144"/>
      <c r="I304" s="144"/>
      <c r="J304" s="145"/>
      <c r="K304" s="145"/>
      <c r="L304" s="148"/>
      <c r="M304" s="155"/>
      <c r="N304" s="144"/>
      <c r="O304" s="144"/>
      <c r="P304" s="144"/>
      <c r="Q304" s="145"/>
      <c r="R304" s="145"/>
      <c r="S304" s="154"/>
      <c r="T304" s="155"/>
      <c r="U304" s="144"/>
      <c r="V304" s="144"/>
    </row>
    <row r="305" spans="1:22" ht="14" x14ac:dyDescent="0.15">
      <c r="A305" s="144"/>
      <c r="B305" s="144"/>
      <c r="C305" s="145"/>
      <c r="D305" s="145"/>
      <c r="E305" s="148"/>
      <c r="F305" s="155"/>
      <c r="G305" s="144"/>
      <c r="H305" s="144"/>
      <c r="I305" s="144"/>
      <c r="J305" s="145"/>
      <c r="K305" s="145"/>
      <c r="L305" s="148"/>
      <c r="M305" s="155"/>
      <c r="N305" s="144"/>
      <c r="O305" s="144"/>
      <c r="P305" s="144"/>
      <c r="Q305" s="145"/>
      <c r="R305" s="145"/>
      <c r="S305" s="154"/>
      <c r="T305" s="155"/>
      <c r="U305" s="144"/>
      <c r="V305" s="144"/>
    </row>
    <row r="306" spans="1:22" ht="14" x14ac:dyDescent="0.15">
      <c r="A306" s="144"/>
      <c r="B306" s="144"/>
      <c r="C306" s="145"/>
      <c r="D306" s="145"/>
      <c r="E306" s="148"/>
      <c r="F306" s="155"/>
      <c r="G306" s="144"/>
      <c r="H306" s="144"/>
      <c r="I306" s="144"/>
      <c r="J306" s="145"/>
      <c r="K306" s="145"/>
      <c r="L306" s="148"/>
      <c r="M306" s="155"/>
      <c r="N306" s="144"/>
      <c r="O306" s="144"/>
      <c r="P306" s="144"/>
      <c r="Q306" s="145"/>
      <c r="R306" s="145"/>
      <c r="S306" s="154"/>
      <c r="T306" s="155"/>
      <c r="U306" s="144"/>
      <c r="V306" s="144"/>
    </row>
    <row r="307" spans="1:22" ht="14" x14ac:dyDescent="0.15">
      <c r="A307" s="144"/>
      <c r="B307" s="144"/>
      <c r="C307" s="145"/>
      <c r="D307" s="145"/>
      <c r="E307" s="148"/>
      <c r="F307" s="155"/>
      <c r="G307" s="144"/>
      <c r="H307" s="144"/>
      <c r="I307" s="144"/>
      <c r="J307" s="145"/>
      <c r="K307" s="145"/>
      <c r="L307" s="148"/>
      <c r="M307" s="155"/>
      <c r="N307" s="144"/>
      <c r="O307" s="144"/>
      <c r="P307" s="144"/>
      <c r="Q307" s="145"/>
      <c r="R307" s="145"/>
      <c r="S307" s="154"/>
      <c r="T307" s="155"/>
      <c r="U307" s="144"/>
      <c r="V307" s="144"/>
    </row>
    <row r="308" spans="1:22" ht="14" x14ac:dyDescent="0.15">
      <c r="A308" s="144"/>
      <c r="B308" s="144"/>
      <c r="C308" s="145"/>
      <c r="D308" s="145"/>
      <c r="E308" s="148"/>
      <c r="F308" s="155"/>
      <c r="G308" s="144"/>
      <c r="H308" s="144"/>
      <c r="I308" s="144"/>
      <c r="J308" s="145"/>
      <c r="K308" s="145"/>
      <c r="L308" s="148"/>
      <c r="M308" s="155"/>
      <c r="N308" s="144"/>
      <c r="O308" s="144"/>
      <c r="P308" s="144"/>
      <c r="Q308" s="145"/>
      <c r="R308" s="145"/>
      <c r="S308" s="154"/>
      <c r="T308" s="155"/>
      <c r="U308" s="144"/>
      <c r="V308" s="144"/>
    </row>
    <row r="309" spans="1:22" ht="14" x14ac:dyDescent="0.15">
      <c r="A309" s="144"/>
      <c r="B309" s="144"/>
      <c r="C309" s="145"/>
      <c r="D309" s="145"/>
      <c r="E309" s="148"/>
      <c r="F309" s="155"/>
      <c r="G309" s="144"/>
      <c r="H309" s="144"/>
      <c r="I309" s="144"/>
      <c r="J309" s="145"/>
      <c r="K309" s="145"/>
      <c r="L309" s="148"/>
      <c r="M309" s="155"/>
      <c r="N309" s="144"/>
      <c r="O309" s="144"/>
      <c r="P309" s="144"/>
      <c r="Q309" s="145"/>
      <c r="R309" s="145"/>
      <c r="S309" s="154"/>
      <c r="T309" s="155"/>
      <c r="U309" s="144"/>
      <c r="V309" s="144"/>
    </row>
    <row r="310" spans="1:22" ht="14" x14ac:dyDescent="0.15">
      <c r="A310" s="144"/>
      <c r="B310" s="144"/>
      <c r="C310" s="145"/>
      <c r="D310" s="145"/>
      <c r="E310" s="148"/>
      <c r="F310" s="155"/>
      <c r="G310" s="144"/>
      <c r="H310" s="144"/>
      <c r="I310" s="144"/>
      <c r="J310" s="145"/>
      <c r="K310" s="145"/>
      <c r="L310" s="148"/>
      <c r="M310" s="155"/>
      <c r="N310" s="144"/>
      <c r="O310" s="144"/>
      <c r="P310" s="144"/>
      <c r="Q310" s="145"/>
      <c r="R310" s="145"/>
      <c r="S310" s="154"/>
      <c r="T310" s="155"/>
      <c r="U310" s="144"/>
      <c r="V310" s="144"/>
    </row>
    <row r="311" spans="1:22" ht="14" x14ac:dyDescent="0.15">
      <c r="A311" s="144"/>
      <c r="B311" s="144"/>
      <c r="C311" s="145"/>
      <c r="D311" s="145"/>
      <c r="E311" s="148"/>
      <c r="F311" s="155"/>
      <c r="G311" s="144"/>
      <c r="H311" s="144"/>
      <c r="I311" s="144"/>
      <c r="J311" s="145"/>
      <c r="K311" s="145"/>
      <c r="L311" s="148"/>
      <c r="M311" s="155"/>
      <c r="N311" s="144"/>
      <c r="O311" s="144"/>
      <c r="P311" s="144"/>
      <c r="Q311" s="145"/>
      <c r="R311" s="145"/>
      <c r="S311" s="154"/>
      <c r="T311" s="155"/>
      <c r="U311" s="144"/>
      <c r="V311" s="144"/>
    </row>
    <row r="312" spans="1:22" ht="14" x14ac:dyDescent="0.15">
      <c r="A312" s="144"/>
      <c r="B312" s="144"/>
      <c r="C312" s="145"/>
      <c r="D312" s="145"/>
      <c r="E312" s="148"/>
      <c r="F312" s="155"/>
      <c r="G312" s="144"/>
      <c r="H312" s="144"/>
      <c r="I312" s="144"/>
      <c r="J312" s="145"/>
      <c r="K312" s="145"/>
      <c r="L312" s="148"/>
      <c r="M312" s="155"/>
      <c r="N312" s="144"/>
      <c r="O312" s="144"/>
      <c r="P312" s="144"/>
      <c r="Q312" s="145"/>
      <c r="R312" s="145"/>
      <c r="S312" s="154"/>
      <c r="T312" s="155"/>
      <c r="U312" s="144"/>
      <c r="V312" s="144"/>
    </row>
    <row r="313" spans="1:22" ht="14" x14ac:dyDescent="0.15">
      <c r="A313" s="144"/>
      <c r="B313" s="144"/>
      <c r="C313" s="145"/>
      <c r="D313" s="145"/>
      <c r="E313" s="148"/>
      <c r="F313" s="155"/>
      <c r="G313" s="144"/>
      <c r="H313" s="144"/>
      <c r="I313" s="144"/>
      <c r="J313" s="145"/>
      <c r="K313" s="145"/>
      <c r="L313" s="148"/>
      <c r="M313" s="155"/>
      <c r="N313" s="144"/>
      <c r="O313" s="144"/>
      <c r="P313" s="144"/>
      <c r="Q313" s="145"/>
      <c r="R313" s="145"/>
      <c r="S313" s="154"/>
      <c r="T313" s="155"/>
      <c r="U313" s="144"/>
      <c r="V313" s="144"/>
    </row>
    <row r="314" spans="1:22" ht="14" x14ac:dyDescent="0.15">
      <c r="A314" s="144"/>
      <c r="B314" s="144"/>
      <c r="C314" s="145"/>
      <c r="D314" s="145"/>
      <c r="E314" s="148"/>
      <c r="F314" s="155"/>
      <c r="G314" s="144"/>
      <c r="H314" s="144"/>
      <c r="I314" s="144"/>
      <c r="J314" s="145"/>
      <c r="K314" s="145"/>
      <c r="L314" s="148"/>
      <c r="M314" s="155"/>
      <c r="N314" s="144"/>
      <c r="O314" s="144"/>
      <c r="P314" s="144"/>
      <c r="Q314" s="145"/>
      <c r="R314" s="145"/>
      <c r="S314" s="154"/>
      <c r="T314" s="155"/>
      <c r="U314" s="144"/>
      <c r="V314" s="144"/>
    </row>
    <row r="315" spans="1:22" ht="14" x14ac:dyDescent="0.15">
      <c r="A315" s="144"/>
      <c r="B315" s="144"/>
      <c r="C315" s="145"/>
      <c r="D315" s="145"/>
      <c r="E315" s="148"/>
      <c r="F315" s="155"/>
      <c r="G315" s="144"/>
      <c r="H315" s="144"/>
      <c r="I315" s="144"/>
      <c r="J315" s="145"/>
      <c r="K315" s="145"/>
      <c r="L315" s="148"/>
      <c r="M315" s="155"/>
      <c r="N315" s="144"/>
      <c r="O315" s="144"/>
      <c r="P315" s="144"/>
      <c r="Q315" s="145"/>
      <c r="R315" s="145"/>
      <c r="S315" s="154"/>
      <c r="T315" s="155"/>
      <c r="U315" s="144"/>
      <c r="V315" s="144"/>
    </row>
    <row r="316" spans="1:22" ht="14" x14ac:dyDescent="0.15">
      <c r="A316" s="144"/>
      <c r="B316" s="144"/>
      <c r="C316" s="145"/>
      <c r="D316" s="145"/>
      <c r="E316" s="148"/>
      <c r="F316" s="155"/>
      <c r="G316" s="144"/>
      <c r="H316" s="144"/>
      <c r="I316" s="144"/>
      <c r="J316" s="145"/>
      <c r="K316" s="145"/>
      <c r="L316" s="148"/>
      <c r="M316" s="155"/>
      <c r="N316" s="144"/>
      <c r="O316" s="144"/>
      <c r="P316" s="144"/>
      <c r="Q316" s="145"/>
      <c r="R316" s="145"/>
      <c r="S316" s="154"/>
      <c r="T316" s="155"/>
      <c r="U316" s="144"/>
      <c r="V316" s="144"/>
    </row>
    <row r="317" spans="1:22" ht="14" x14ac:dyDescent="0.15">
      <c r="A317" s="144"/>
      <c r="B317" s="144"/>
      <c r="C317" s="145"/>
      <c r="D317" s="145"/>
      <c r="E317" s="148"/>
      <c r="F317" s="155"/>
      <c r="G317" s="144"/>
      <c r="H317" s="144"/>
      <c r="I317" s="144"/>
      <c r="J317" s="145"/>
      <c r="K317" s="145"/>
      <c r="L317" s="148"/>
      <c r="M317" s="155"/>
      <c r="N317" s="144"/>
      <c r="O317" s="144"/>
      <c r="P317" s="144"/>
      <c r="Q317" s="145"/>
      <c r="R317" s="145"/>
      <c r="S317" s="154"/>
      <c r="T317" s="155"/>
      <c r="U317" s="144"/>
      <c r="V317" s="144"/>
    </row>
    <row r="318" spans="1:22" ht="14" x14ac:dyDescent="0.15">
      <c r="A318" s="144"/>
      <c r="B318" s="144"/>
      <c r="C318" s="145"/>
      <c r="D318" s="145"/>
      <c r="E318" s="148"/>
      <c r="F318" s="155"/>
      <c r="G318" s="144"/>
      <c r="H318" s="144"/>
      <c r="I318" s="144"/>
      <c r="J318" s="145"/>
      <c r="K318" s="145"/>
      <c r="L318" s="148"/>
      <c r="M318" s="155"/>
      <c r="N318" s="144"/>
      <c r="O318" s="144"/>
      <c r="P318" s="144"/>
      <c r="Q318" s="145"/>
      <c r="R318" s="145"/>
      <c r="S318" s="154"/>
      <c r="T318" s="155"/>
      <c r="U318" s="144"/>
      <c r="V318" s="144"/>
    </row>
    <row r="319" spans="1:22" ht="14" x14ac:dyDescent="0.15">
      <c r="A319" s="144"/>
      <c r="B319" s="144"/>
      <c r="C319" s="145"/>
      <c r="D319" s="145"/>
      <c r="E319" s="148"/>
      <c r="F319" s="155"/>
      <c r="G319" s="144"/>
      <c r="H319" s="144"/>
      <c r="I319" s="144"/>
      <c r="J319" s="145"/>
      <c r="K319" s="145"/>
      <c r="L319" s="148"/>
      <c r="M319" s="155"/>
      <c r="N319" s="144"/>
      <c r="O319" s="144"/>
      <c r="P319" s="144"/>
      <c r="Q319" s="145"/>
      <c r="R319" s="145"/>
      <c r="S319" s="154"/>
      <c r="T319" s="155"/>
      <c r="U319" s="144"/>
      <c r="V319" s="144"/>
    </row>
    <row r="320" spans="1:22" ht="14" x14ac:dyDescent="0.15">
      <c r="A320" s="144"/>
      <c r="B320" s="144"/>
      <c r="C320" s="145"/>
      <c r="D320" s="145"/>
      <c r="E320" s="148"/>
      <c r="F320" s="155"/>
      <c r="G320" s="144"/>
      <c r="H320" s="144"/>
      <c r="I320" s="144"/>
      <c r="J320" s="145"/>
      <c r="K320" s="145"/>
      <c r="L320" s="148"/>
      <c r="M320" s="155"/>
      <c r="N320" s="144"/>
      <c r="O320" s="144"/>
      <c r="P320" s="144"/>
      <c r="Q320" s="145"/>
      <c r="R320" s="145"/>
      <c r="S320" s="154"/>
      <c r="T320" s="155"/>
      <c r="U320" s="144"/>
      <c r="V320" s="144"/>
    </row>
    <row r="321" spans="1:22" ht="14" x14ac:dyDescent="0.15">
      <c r="A321" s="144"/>
      <c r="B321" s="144"/>
      <c r="C321" s="145"/>
      <c r="D321" s="145"/>
      <c r="E321" s="148"/>
      <c r="F321" s="155"/>
      <c r="G321" s="144"/>
      <c r="H321" s="144"/>
      <c r="I321" s="144"/>
      <c r="J321" s="145"/>
      <c r="K321" s="145"/>
      <c r="L321" s="148"/>
      <c r="M321" s="155"/>
      <c r="N321" s="144"/>
      <c r="O321" s="144"/>
      <c r="P321" s="144"/>
      <c r="Q321" s="145"/>
      <c r="R321" s="145"/>
      <c r="S321" s="154"/>
      <c r="T321" s="155"/>
      <c r="U321" s="144"/>
      <c r="V321" s="144"/>
    </row>
    <row r="322" spans="1:22" ht="14" x14ac:dyDescent="0.15">
      <c r="A322" s="144"/>
      <c r="B322" s="144"/>
      <c r="C322" s="145"/>
      <c r="D322" s="145"/>
      <c r="E322" s="148"/>
      <c r="F322" s="155"/>
      <c r="G322" s="144"/>
      <c r="H322" s="144"/>
      <c r="I322" s="144"/>
      <c r="J322" s="145"/>
      <c r="K322" s="145"/>
      <c r="L322" s="148"/>
      <c r="M322" s="155"/>
      <c r="N322" s="144"/>
      <c r="O322" s="144"/>
      <c r="P322" s="144"/>
      <c r="Q322" s="145"/>
      <c r="R322" s="145"/>
      <c r="S322" s="154"/>
      <c r="T322" s="155"/>
      <c r="U322" s="144"/>
      <c r="V322" s="144"/>
    </row>
    <row r="323" spans="1:22" ht="14" x14ac:dyDescent="0.15">
      <c r="A323" s="144"/>
      <c r="B323" s="144"/>
      <c r="C323" s="145"/>
      <c r="D323" s="145"/>
      <c r="E323" s="148"/>
      <c r="F323" s="155"/>
      <c r="G323" s="144"/>
      <c r="H323" s="144"/>
      <c r="I323" s="144"/>
      <c r="J323" s="145"/>
      <c r="K323" s="145"/>
      <c r="L323" s="148"/>
      <c r="M323" s="155"/>
      <c r="N323" s="144"/>
      <c r="O323" s="144"/>
      <c r="P323" s="144"/>
      <c r="Q323" s="145"/>
      <c r="R323" s="145"/>
      <c r="S323" s="154"/>
      <c r="T323" s="155"/>
      <c r="U323" s="144"/>
      <c r="V323" s="144"/>
    </row>
    <row r="324" spans="1:22" ht="14" x14ac:dyDescent="0.15">
      <c r="A324" s="144"/>
      <c r="B324" s="144"/>
      <c r="C324" s="145"/>
      <c r="D324" s="145"/>
      <c r="E324" s="148"/>
      <c r="F324" s="155"/>
      <c r="G324" s="144"/>
      <c r="H324" s="144"/>
      <c r="I324" s="144"/>
      <c r="J324" s="145"/>
      <c r="K324" s="145"/>
      <c r="L324" s="148"/>
      <c r="M324" s="155"/>
      <c r="N324" s="144"/>
      <c r="O324" s="144"/>
      <c r="P324" s="144"/>
      <c r="Q324" s="145"/>
      <c r="R324" s="145"/>
      <c r="S324" s="154"/>
      <c r="T324" s="155"/>
      <c r="U324" s="144"/>
      <c r="V324" s="144"/>
    </row>
    <row r="325" spans="1:22" ht="14" x14ac:dyDescent="0.15">
      <c r="A325" s="144"/>
      <c r="B325" s="144"/>
      <c r="C325" s="145"/>
      <c r="D325" s="145"/>
      <c r="E325" s="148"/>
      <c r="F325" s="155"/>
      <c r="G325" s="144"/>
      <c r="H325" s="144"/>
      <c r="I325" s="144"/>
      <c r="J325" s="145"/>
      <c r="K325" s="145"/>
      <c r="L325" s="148"/>
      <c r="M325" s="155"/>
      <c r="N325" s="144"/>
      <c r="O325" s="144"/>
      <c r="P325" s="144"/>
      <c r="Q325" s="145"/>
      <c r="R325" s="145"/>
      <c r="S325" s="154"/>
      <c r="T325" s="155"/>
      <c r="U325" s="144"/>
      <c r="V325" s="144"/>
    </row>
    <row r="326" spans="1:22" ht="14" x14ac:dyDescent="0.15">
      <c r="A326" s="144"/>
      <c r="B326" s="144"/>
      <c r="C326" s="145"/>
      <c r="D326" s="145"/>
      <c r="E326" s="148"/>
      <c r="F326" s="155"/>
      <c r="G326" s="144"/>
      <c r="H326" s="144"/>
      <c r="I326" s="144"/>
      <c r="J326" s="145"/>
      <c r="K326" s="145"/>
      <c r="L326" s="148"/>
      <c r="M326" s="155"/>
      <c r="N326" s="144"/>
      <c r="O326" s="144"/>
      <c r="P326" s="144"/>
      <c r="Q326" s="145"/>
      <c r="R326" s="145"/>
      <c r="S326" s="154"/>
      <c r="T326" s="155"/>
      <c r="U326" s="144"/>
      <c r="V326" s="144"/>
    </row>
    <row r="327" spans="1:22" ht="14" x14ac:dyDescent="0.15">
      <c r="A327" s="144"/>
      <c r="B327" s="144"/>
      <c r="C327" s="145"/>
      <c r="D327" s="145"/>
      <c r="E327" s="148"/>
      <c r="F327" s="155"/>
      <c r="G327" s="144"/>
      <c r="H327" s="144"/>
      <c r="I327" s="144"/>
      <c r="J327" s="145"/>
      <c r="K327" s="145"/>
      <c r="L327" s="148"/>
      <c r="M327" s="155"/>
      <c r="N327" s="144"/>
      <c r="O327" s="144"/>
      <c r="P327" s="144"/>
      <c r="Q327" s="145"/>
      <c r="R327" s="145"/>
      <c r="S327" s="154"/>
      <c r="T327" s="155"/>
      <c r="U327" s="144"/>
      <c r="V327" s="144"/>
    </row>
    <row r="328" spans="1:22" ht="14" x14ac:dyDescent="0.15">
      <c r="A328" s="144"/>
      <c r="B328" s="144"/>
      <c r="C328" s="145"/>
      <c r="D328" s="145"/>
      <c r="E328" s="148"/>
      <c r="F328" s="155"/>
      <c r="G328" s="144"/>
      <c r="H328" s="144"/>
      <c r="I328" s="144"/>
      <c r="J328" s="145"/>
      <c r="K328" s="145"/>
      <c r="L328" s="148"/>
      <c r="M328" s="155"/>
      <c r="N328" s="144"/>
      <c r="O328" s="144"/>
      <c r="P328" s="144"/>
      <c r="Q328" s="145"/>
      <c r="R328" s="145"/>
      <c r="S328" s="154"/>
      <c r="T328" s="155"/>
      <c r="U328" s="144"/>
      <c r="V328" s="144"/>
    </row>
    <row r="329" spans="1:22" ht="14" x14ac:dyDescent="0.15">
      <c r="A329" s="144"/>
      <c r="B329" s="144"/>
      <c r="C329" s="145"/>
      <c r="D329" s="145"/>
      <c r="E329" s="148"/>
      <c r="F329" s="155"/>
      <c r="G329" s="144"/>
      <c r="H329" s="144"/>
      <c r="I329" s="144"/>
      <c r="J329" s="145"/>
      <c r="K329" s="145"/>
      <c r="L329" s="148"/>
      <c r="M329" s="155"/>
      <c r="N329" s="144"/>
      <c r="O329" s="144"/>
      <c r="P329" s="144"/>
      <c r="Q329" s="145"/>
      <c r="R329" s="145"/>
      <c r="S329" s="154"/>
      <c r="T329" s="155"/>
      <c r="U329" s="144"/>
      <c r="V329" s="144"/>
    </row>
    <row r="330" spans="1:22" ht="14" x14ac:dyDescent="0.15">
      <c r="A330" s="144"/>
      <c r="B330" s="144"/>
      <c r="C330" s="145"/>
      <c r="D330" s="145"/>
      <c r="E330" s="148"/>
      <c r="F330" s="155"/>
      <c r="G330" s="144"/>
      <c r="H330" s="144"/>
      <c r="I330" s="144"/>
      <c r="J330" s="145"/>
      <c r="K330" s="145"/>
      <c r="L330" s="148"/>
      <c r="M330" s="155"/>
      <c r="N330" s="144"/>
      <c r="O330" s="144"/>
      <c r="P330" s="144"/>
      <c r="Q330" s="145"/>
      <c r="R330" s="145"/>
      <c r="S330" s="154"/>
      <c r="T330" s="155"/>
      <c r="U330" s="144"/>
      <c r="V330" s="144"/>
    </row>
    <row r="331" spans="1:22" ht="14" x14ac:dyDescent="0.15">
      <c r="A331" s="144"/>
      <c r="B331" s="144"/>
      <c r="C331" s="145"/>
      <c r="D331" s="145"/>
      <c r="E331" s="148"/>
      <c r="F331" s="155"/>
      <c r="G331" s="144"/>
      <c r="H331" s="144"/>
      <c r="I331" s="144"/>
      <c r="J331" s="145"/>
      <c r="K331" s="145"/>
      <c r="L331" s="148"/>
      <c r="M331" s="155"/>
      <c r="N331" s="144"/>
      <c r="O331" s="144"/>
      <c r="P331" s="144"/>
      <c r="Q331" s="145"/>
      <c r="R331" s="145"/>
      <c r="S331" s="154"/>
      <c r="T331" s="155"/>
      <c r="U331" s="144"/>
      <c r="V331" s="144"/>
    </row>
    <row r="332" spans="1:22" ht="14" x14ac:dyDescent="0.15">
      <c r="A332" s="144"/>
      <c r="B332" s="144"/>
      <c r="C332" s="145"/>
      <c r="D332" s="145"/>
      <c r="E332" s="148"/>
      <c r="F332" s="155"/>
      <c r="G332" s="144"/>
      <c r="H332" s="144"/>
      <c r="I332" s="144"/>
      <c r="J332" s="145"/>
      <c r="K332" s="145"/>
      <c r="L332" s="148"/>
      <c r="M332" s="155"/>
      <c r="N332" s="144"/>
      <c r="O332" s="144"/>
      <c r="P332" s="144"/>
      <c r="Q332" s="145"/>
      <c r="R332" s="145"/>
      <c r="S332" s="154"/>
      <c r="T332" s="155"/>
      <c r="U332" s="144"/>
      <c r="V332" s="144"/>
    </row>
    <row r="333" spans="1:22" ht="14" x14ac:dyDescent="0.15">
      <c r="A333" s="144"/>
      <c r="B333" s="144"/>
      <c r="C333" s="145"/>
      <c r="D333" s="145"/>
      <c r="E333" s="148"/>
      <c r="F333" s="155"/>
      <c r="G333" s="144"/>
      <c r="H333" s="144"/>
      <c r="I333" s="144"/>
      <c r="J333" s="145"/>
      <c r="K333" s="145"/>
      <c r="L333" s="148"/>
      <c r="M333" s="155"/>
      <c r="N333" s="144"/>
      <c r="O333" s="144"/>
      <c r="P333" s="144"/>
      <c r="Q333" s="145"/>
      <c r="R333" s="145"/>
      <c r="S333" s="154"/>
      <c r="T333" s="155"/>
      <c r="U333" s="144"/>
      <c r="V333" s="144"/>
    </row>
    <row r="334" spans="1:22" ht="14" x14ac:dyDescent="0.15">
      <c r="A334" s="144"/>
      <c r="B334" s="144"/>
      <c r="C334" s="145"/>
      <c r="D334" s="145"/>
      <c r="E334" s="148"/>
      <c r="F334" s="155"/>
      <c r="G334" s="144"/>
      <c r="H334" s="144"/>
      <c r="I334" s="144"/>
      <c r="J334" s="145"/>
      <c r="K334" s="145"/>
      <c r="L334" s="148"/>
      <c r="M334" s="155"/>
      <c r="N334" s="144"/>
      <c r="O334" s="144"/>
      <c r="P334" s="144"/>
      <c r="Q334" s="145"/>
      <c r="R334" s="145"/>
      <c r="S334" s="154"/>
      <c r="T334" s="155"/>
      <c r="U334" s="144"/>
      <c r="V334" s="144"/>
    </row>
    <row r="335" spans="1:22" ht="14" x14ac:dyDescent="0.15">
      <c r="A335" s="144"/>
      <c r="B335" s="144"/>
      <c r="C335" s="145"/>
      <c r="D335" s="145"/>
      <c r="E335" s="148"/>
      <c r="F335" s="155"/>
      <c r="G335" s="144"/>
      <c r="H335" s="144"/>
      <c r="I335" s="144"/>
      <c r="J335" s="145"/>
      <c r="K335" s="145"/>
      <c r="L335" s="148"/>
      <c r="M335" s="155"/>
      <c r="N335" s="144"/>
      <c r="O335" s="144"/>
      <c r="P335" s="144"/>
      <c r="Q335" s="145"/>
      <c r="R335" s="145"/>
      <c r="S335" s="154"/>
      <c r="T335" s="155"/>
      <c r="U335" s="144"/>
      <c r="V335" s="144"/>
    </row>
    <row r="336" spans="1:22" ht="14" x14ac:dyDescent="0.15">
      <c r="A336" s="144"/>
      <c r="B336" s="144"/>
      <c r="C336" s="145"/>
      <c r="D336" s="145"/>
      <c r="E336" s="148"/>
      <c r="F336" s="155"/>
      <c r="G336" s="144"/>
      <c r="H336" s="144"/>
      <c r="I336" s="144"/>
      <c r="J336" s="145"/>
      <c r="K336" s="145"/>
      <c r="L336" s="148"/>
      <c r="M336" s="155"/>
      <c r="N336" s="144"/>
      <c r="O336" s="144"/>
      <c r="P336" s="144"/>
      <c r="Q336" s="145"/>
      <c r="R336" s="145"/>
      <c r="S336" s="154"/>
      <c r="T336" s="155"/>
      <c r="U336" s="144"/>
      <c r="V336" s="144"/>
    </row>
    <row r="337" spans="1:22" ht="14" x14ac:dyDescent="0.15">
      <c r="A337" s="144"/>
      <c r="B337" s="144"/>
      <c r="C337" s="145"/>
      <c r="D337" s="145"/>
      <c r="E337" s="148"/>
      <c r="F337" s="155"/>
      <c r="G337" s="144"/>
      <c r="H337" s="144"/>
      <c r="I337" s="144"/>
      <c r="J337" s="145"/>
      <c r="K337" s="145"/>
      <c r="L337" s="148"/>
      <c r="M337" s="155"/>
      <c r="N337" s="144"/>
      <c r="O337" s="144"/>
      <c r="P337" s="144"/>
      <c r="Q337" s="145"/>
      <c r="R337" s="145"/>
      <c r="S337" s="154"/>
      <c r="T337" s="155"/>
      <c r="U337" s="144"/>
      <c r="V337" s="144"/>
    </row>
    <row r="338" spans="1:22" ht="14" x14ac:dyDescent="0.15">
      <c r="A338" s="144"/>
      <c r="B338" s="144"/>
      <c r="C338" s="145"/>
      <c r="D338" s="145"/>
      <c r="E338" s="148"/>
      <c r="F338" s="155"/>
      <c r="G338" s="144"/>
      <c r="H338" s="144"/>
      <c r="I338" s="144"/>
      <c r="J338" s="145"/>
      <c r="K338" s="145"/>
      <c r="L338" s="148"/>
      <c r="M338" s="155"/>
      <c r="N338" s="144"/>
      <c r="O338" s="144"/>
      <c r="P338" s="144"/>
      <c r="Q338" s="145"/>
      <c r="R338" s="145"/>
      <c r="S338" s="154"/>
      <c r="T338" s="155"/>
      <c r="U338" s="144"/>
      <c r="V338" s="144"/>
    </row>
    <row r="339" spans="1:22" ht="14" x14ac:dyDescent="0.15">
      <c r="A339" s="144"/>
      <c r="B339" s="144"/>
      <c r="C339" s="145"/>
      <c r="D339" s="145"/>
      <c r="E339" s="148"/>
      <c r="F339" s="155"/>
      <c r="G339" s="144"/>
      <c r="H339" s="144"/>
      <c r="I339" s="144"/>
      <c r="J339" s="145"/>
      <c r="K339" s="145"/>
      <c r="L339" s="148"/>
      <c r="M339" s="155"/>
      <c r="N339" s="144"/>
      <c r="O339" s="144"/>
      <c r="P339" s="144"/>
      <c r="Q339" s="145"/>
      <c r="R339" s="145"/>
      <c r="S339" s="154"/>
      <c r="T339" s="155"/>
      <c r="U339" s="144"/>
      <c r="V339" s="144"/>
    </row>
    <row r="340" spans="1:22" ht="14" x14ac:dyDescent="0.15">
      <c r="A340" s="144"/>
      <c r="B340" s="144"/>
      <c r="C340" s="145"/>
      <c r="D340" s="145"/>
      <c r="E340" s="148"/>
      <c r="F340" s="155"/>
      <c r="G340" s="144"/>
      <c r="H340" s="144"/>
      <c r="I340" s="144"/>
      <c r="J340" s="145"/>
      <c r="K340" s="145"/>
      <c r="L340" s="148"/>
      <c r="M340" s="155"/>
      <c r="N340" s="144"/>
      <c r="O340" s="144"/>
      <c r="P340" s="144"/>
      <c r="Q340" s="145"/>
      <c r="R340" s="145"/>
      <c r="S340" s="154"/>
      <c r="T340" s="155"/>
      <c r="U340" s="144"/>
      <c r="V340" s="144"/>
    </row>
    <row r="341" spans="1:22" ht="14" x14ac:dyDescent="0.15">
      <c r="A341" s="144"/>
      <c r="B341" s="144"/>
      <c r="C341" s="145"/>
      <c r="D341" s="145"/>
      <c r="E341" s="148"/>
      <c r="F341" s="155"/>
      <c r="G341" s="144"/>
      <c r="H341" s="144"/>
      <c r="I341" s="144"/>
      <c r="J341" s="145"/>
      <c r="K341" s="145"/>
      <c r="L341" s="148"/>
      <c r="M341" s="155"/>
      <c r="N341" s="144"/>
      <c r="O341" s="144"/>
      <c r="P341" s="144"/>
      <c r="Q341" s="145"/>
      <c r="R341" s="145"/>
      <c r="S341" s="154"/>
      <c r="T341" s="155"/>
      <c r="U341" s="144"/>
      <c r="V341" s="144"/>
    </row>
    <row r="342" spans="1:22" ht="14" x14ac:dyDescent="0.15">
      <c r="A342" s="144"/>
      <c r="B342" s="144"/>
      <c r="C342" s="145"/>
      <c r="D342" s="145"/>
      <c r="E342" s="148"/>
      <c r="F342" s="155"/>
      <c r="G342" s="144"/>
      <c r="H342" s="144"/>
      <c r="I342" s="144"/>
      <c r="J342" s="145"/>
      <c r="K342" s="145"/>
      <c r="L342" s="148"/>
      <c r="M342" s="155"/>
      <c r="N342" s="144"/>
      <c r="O342" s="144"/>
      <c r="P342" s="144"/>
      <c r="Q342" s="145"/>
      <c r="R342" s="145"/>
      <c r="S342" s="154"/>
      <c r="T342" s="155"/>
      <c r="U342" s="144"/>
      <c r="V342" s="144"/>
    </row>
    <row r="343" spans="1:22" ht="14" x14ac:dyDescent="0.15">
      <c r="A343" s="144"/>
      <c r="B343" s="144"/>
      <c r="C343" s="145"/>
      <c r="D343" s="145"/>
      <c r="E343" s="148"/>
      <c r="F343" s="155"/>
      <c r="G343" s="144"/>
      <c r="H343" s="144"/>
      <c r="I343" s="144"/>
      <c r="J343" s="145"/>
      <c r="K343" s="145"/>
      <c r="L343" s="148"/>
      <c r="M343" s="155"/>
      <c r="N343" s="144"/>
      <c r="O343" s="144"/>
      <c r="P343" s="144"/>
      <c r="Q343" s="145"/>
      <c r="R343" s="145"/>
      <c r="S343" s="154"/>
      <c r="T343" s="155"/>
      <c r="U343" s="144"/>
      <c r="V343" s="144"/>
    </row>
    <row r="344" spans="1:22" ht="14" x14ac:dyDescent="0.15">
      <c r="A344" s="144"/>
      <c r="B344" s="144"/>
      <c r="C344" s="145"/>
      <c r="D344" s="145"/>
      <c r="E344" s="148"/>
      <c r="F344" s="155"/>
      <c r="G344" s="144"/>
      <c r="H344" s="144"/>
      <c r="I344" s="144"/>
      <c r="J344" s="145"/>
      <c r="K344" s="145"/>
      <c r="L344" s="148"/>
      <c r="M344" s="155"/>
      <c r="N344" s="144"/>
      <c r="O344" s="144"/>
      <c r="P344" s="144"/>
      <c r="Q344" s="145"/>
      <c r="R344" s="145"/>
      <c r="S344" s="154"/>
      <c r="T344" s="155"/>
      <c r="U344" s="144"/>
      <c r="V344" s="144"/>
    </row>
    <row r="345" spans="1:22" ht="14" x14ac:dyDescent="0.15">
      <c r="A345" s="144"/>
      <c r="B345" s="144"/>
      <c r="C345" s="145"/>
      <c r="D345" s="145"/>
      <c r="E345" s="148"/>
      <c r="F345" s="155"/>
      <c r="G345" s="144"/>
      <c r="H345" s="144"/>
      <c r="I345" s="144"/>
      <c r="J345" s="145"/>
      <c r="K345" s="145"/>
      <c r="L345" s="148"/>
      <c r="M345" s="155"/>
      <c r="N345" s="144"/>
      <c r="O345" s="144"/>
      <c r="P345" s="144"/>
      <c r="Q345" s="145"/>
      <c r="R345" s="145"/>
      <c r="S345" s="154"/>
      <c r="T345" s="155"/>
      <c r="U345" s="144"/>
      <c r="V345" s="144"/>
    </row>
    <row r="346" spans="1:22" ht="14" x14ac:dyDescent="0.15">
      <c r="A346" s="144"/>
      <c r="B346" s="144"/>
      <c r="C346" s="145"/>
      <c r="D346" s="145"/>
      <c r="E346" s="148"/>
      <c r="F346" s="155"/>
      <c r="G346" s="144"/>
      <c r="H346" s="144"/>
      <c r="I346" s="144"/>
      <c r="J346" s="145"/>
      <c r="K346" s="145"/>
      <c r="L346" s="148"/>
      <c r="M346" s="155"/>
      <c r="N346" s="144"/>
      <c r="O346" s="144"/>
      <c r="P346" s="144"/>
      <c r="Q346" s="145"/>
      <c r="R346" s="145"/>
      <c r="S346" s="154"/>
      <c r="T346" s="155"/>
      <c r="U346" s="144"/>
      <c r="V346" s="144"/>
    </row>
    <row r="347" spans="1:22" ht="14" x14ac:dyDescent="0.15">
      <c r="A347" s="144"/>
      <c r="B347" s="144"/>
      <c r="C347" s="145"/>
      <c r="D347" s="145"/>
      <c r="E347" s="148"/>
      <c r="F347" s="155"/>
      <c r="G347" s="144"/>
      <c r="H347" s="144"/>
      <c r="I347" s="144"/>
      <c r="J347" s="145"/>
      <c r="K347" s="145"/>
      <c r="L347" s="148"/>
      <c r="M347" s="155"/>
      <c r="N347" s="144"/>
      <c r="O347" s="144"/>
      <c r="P347" s="144"/>
      <c r="Q347" s="145"/>
      <c r="R347" s="145"/>
      <c r="S347" s="154"/>
      <c r="T347" s="155"/>
      <c r="U347" s="144"/>
      <c r="V347" s="144"/>
    </row>
    <row r="348" spans="1:22" ht="14" x14ac:dyDescent="0.15">
      <c r="A348" s="144"/>
      <c r="B348" s="144"/>
      <c r="C348" s="145"/>
      <c r="D348" s="145"/>
      <c r="E348" s="148"/>
      <c r="F348" s="155"/>
      <c r="G348" s="144"/>
      <c r="H348" s="144"/>
      <c r="I348" s="144"/>
      <c r="J348" s="145"/>
      <c r="K348" s="145"/>
      <c r="L348" s="148"/>
      <c r="M348" s="155"/>
      <c r="N348" s="144"/>
      <c r="O348" s="144"/>
      <c r="P348" s="144"/>
      <c r="Q348" s="145"/>
      <c r="R348" s="145"/>
      <c r="S348" s="154"/>
      <c r="T348" s="155"/>
      <c r="U348" s="144"/>
      <c r="V348" s="144"/>
    </row>
    <row r="349" spans="1:22" ht="14" x14ac:dyDescent="0.15">
      <c r="A349" s="144"/>
      <c r="B349" s="144"/>
      <c r="C349" s="145"/>
      <c r="D349" s="145"/>
      <c r="E349" s="148"/>
      <c r="F349" s="155"/>
      <c r="G349" s="144"/>
      <c r="H349" s="144"/>
      <c r="I349" s="144"/>
      <c r="J349" s="145"/>
      <c r="K349" s="145"/>
      <c r="L349" s="148"/>
      <c r="M349" s="155"/>
      <c r="N349" s="144"/>
      <c r="O349" s="144"/>
      <c r="P349" s="144"/>
      <c r="Q349" s="145"/>
      <c r="R349" s="145"/>
      <c r="S349" s="154"/>
      <c r="T349" s="155"/>
      <c r="U349" s="144"/>
      <c r="V349" s="144"/>
    </row>
    <row r="350" spans="1:22" ht="14" x14ac:dyDescent="0.15">
      <c r="A350" s="144"/>
      <c r="B350" s="144"/>
      <c r="C350" s="145"/>
      <c r="D350" s="145"/>
      <c r="E350" s="148"/>
      <c r="F350" s="155"/>
      <c r="G350" s="144"/>
      <c r="H350" s="144"/>
      <c r="I350" s="144"/>
      <c r="J350" s="145"/>
      <c r="K350" s="145"/>
      <c r="L350" s="148"/>
      <c r="M350" s="155"/>
      <c r="N350" s="144"/>
      <c r="O350" s="144"/>
      <c r="P350" s="144"/>
      <c r="Q350" s="145"/>
      <c r="R350" s="145"/>
      <c r="S350" s="154"/>
      <c r="T350" s="155"/>
      <c r="U350" s="144"/>
      <c r="V350" s="144"/>
    </row>
    <row r="351" spans="1:22" ht="14" x14ac:dyDescent="0.15">
      <c r="A351" s="144"/>
      <c r="B351" s="144"/>
      <c r="C351" s="145"/>
      <c r="D351" s="145"/>
      <c r="E351" s="148"/>
      <c r="F351" s="155"/>
      <c r="G351" s="144"/>
      <c r="H351" s="144"/>
      <c r="I351" s="144"/>
      <c r="J351" s="145"/>
      <c r="K351" s="145"/>
      <c r="L351" s="148"/>
      <c r="M351" s="155"/>
      <c r="N351" s="144"/>
      <c r="O351" s="144"/>
      <c r="P351" s="144"/>
      <c r="Q351" s="145"/>
      <c r="R351" s="145"/>
      <c r="S351" s="154"/>
      <c r="T351" s="155"/>
      <c r="U351" s="144"/>
      <c r="V351" s="144"/>
    </row>
    <row r="352" spans="1:22" ht="14" x14ac:dyDescent="0.15">
      <c r="A352" s="144"/>
      <c r="B352" s="144"/>
      <c r="C352" s="145"/>
      <c r="D352" s="145"/>
      <c r="E352" s="148"/>
      <c r="F352" s="155"/>
      <c r="G352" s="144"/>
      <c r="H352" s="144"/>
      <c r="I352" s="144"/>
      <c r="J352" s="145"/>
      <c r="K352" s="145"/>
      <c r="L352" s="148"/>
      <c r="M352" s="155"/>
      <c r="N352" s="144"/>
      <c r="O352" s="144"/>
      <c r="P352" s="144"/>
      <c r="Q352" s="145"/>
      <c r="R352" s="145"/>
      <c r="S352" s="154"/>
      <c r="T352" s="155"/>
      <c r="U352" s="144"/>
      <c r="V352" s="144"/>
    </row>
    <row r="353" spans="1:22" ht="14" x14ac:dyDescent="0.15">
      <c r="A353" s="144"/>
      <c r="B353" s="144"/>
      <c r="C353" s="145"/>
      <c r="D353" s="145"/>
      <c r="E353" s="148"/>
      <c r="F353" s="155"/>
      <c r="G353" s="144"/>
      <c r="H353" s="144"/>
      <c r="I353" s="144"/>
      <c r="J353" s="145"/>
      <c r="K353" s="145"/>
      <c r="L353" s="148"/>
      <c r="M353" s="155"/>
      <c r="N353" s="144"/>
      <c r="O353" s="144"/>
      <c r="P353" s="144"/>
      <c r="Q353" s="145"/>
      <c r="R353" s="145"/>
      <c r="S353" s="154"/>
      <c r="T353" s="155"/>
      <c r="U353" s="144"/>
      <c r="V353" s="144"/>
    </row>
    <row r="354" spans="1:22" ht="14" x14ac:dyDescent="0.15">
      <c r="A354" s="144"/>
      <c r="B354" s="144"/>
      <c r="C354" s="145"/>
      <c r="D354" s="145"/>
      <c r="E354" s="148"/>
      <c r="F354" s="155"/>
      <c r="G354" s="144"/>
      <c r="H354" s="144"/>
      <c r="I354" s="144"/>
      <c r="J354" s="145"/>
      <c r="K354" s="145"/>
      <c r="L354" s="148"/>
      <c r="M354" s="155"/>
      <c r="N354" s="144"/>
      <c r="O354" s="144"/>
      <c r="P354" s="144"/>
      <c r="Q354" s="145"/>
      <c r="R354" s="145"/>
      <c r="S354" s="154"/>
      <c r="T354" s="155"/>
      <c r="U354" s="144"/>
      <c r="V354" s="144"/>
    </row>
    <row r="355" spans="1:22" ht="14" x14ac:dyDescent="0.15">
      <c r="A355" s="144"/>
      <c r="B355" s="144"/>
      <c r="C355" s="145"/>
      <c r="D355" s="145"/>
      <c r="E355" s="148"/>
      <c r="F355" s="155"/>
      <c r="G355" s="144"/>
      <c r="H355" s="144"/>
      <c r="I355" s="144"/>
      <c r="J355" s="145"/>
      <c r="K355" s="145"/>
      <c r="L355" s="148"/>
      <c r="M355" s="155"/>
      <c r="N355" s="144"/>
      <c r="O355" s="144"/>
      <c r="P355" s="144"/>
      <c r="Q355" s="145"/>
      <c r="R355" s="145"/>
      <c r="S355" s="154"/>
      <c r="T355" s="155"/>
      <c r="U355" s="144"/>
      <c r="V355" s="144"/>
    </row>
    <row r="356" spans="1:22" ht="14" x14ac:dyDescent="0.15">
      <c r="A356" s="144"/>
      <c r="B356" s="144"/>
      <c r="C356" s="145"/>
      <c r="D356" s="145"/>
      <c r="E356" s="148"/>
      <c r="F356" s="155"/>
      <c r="G356" s="144"/>
      <c r="H356" s="144"/>
      <c r="I356" s="144"/>
      <c r="J356" s="145"/>
      <c r="K356" s="145"/>
      <c r="L356" s="148"/>
      <c r="M356" s="155"/>
      <c r="N356" s="144"/>
      <c r="O356" s="144"/>
      <c r="P356" s="144"/>
      <c r="Q356" s="145"/>
      <c r="R356" s="145"/>
      <c r="S356" s="154"/>
      <c r="T356" s="155"/>
      <c r="U356" s="144"/>
      <c r="V356" s="144"/>
    </row>
    <row r="357" spans="1:22" ht="14" x14ac:dyDescent="0.15">
      <c r="A357" s="144"/>
      <c r="B357" s="144"/>
      <c r="C357" s="145"/>
      <c r="D357" s="145"/>
      <c r="E357" s="148"/>
      <c r="F357" s="155"/>
      <c r="G357" s="144"/>
      <c r="H357" s="144"/>
      <c r="I357" s="144"/>
      <c r="J357" s="145"/>
      <c r="K357" s="145"/>
      <c r="L357" s="148"/>
      <c r="M357" s="155"/>
      <c r="N357" s="144"/>
      <c r="O357" s="144"/>
      <c r="P357" s="144"/>
      <c r="Q357" s="145"/>
      <c r="R357" s="145"/>
      <c r="S357" s="154"/>
      <c r="T357" s="155"/>
      <c r="U357" s="144"/>
      <c r="V357" s="144"/>
    </row>
    <row r="358" spans="1:22" ht="14" x14ac:dyDescent="0.15">
      <c r="A358" s="144"/>
      <c r="B358" s="144"/>
      <c r="C358" s="145"/>
      <c r="D358" s="145"/>
      <c r="E358" s="148"/>
      <c r="F358" s="155"/>
      <c r="G358" s="144"/>
      <c r="H358" s="144"/>
      <c r="I358" s="144"/>
      <c r="J358" s="145"/>
      <c r="K358" s="145"/>
      <c r="L358" s="148"/>
      <c r="M358" s="155"/>
      <c r="N358" s="144"/>
      <c r="O358" s="144"/>
      <c r="P358" s="144"/>
      <c r="Q358" s="145"/>
      <c r="R358" s="145"/>
      <c r="S358" s="154"/>
      <c r="T358" s="155"/>
      <c r="U358" s="144"/>
      <c r="V358" s="144"/>
    </row>
    <row r="359" spans="1:22" ht="14" x14ac:dyDescent="0.15">
      <c r="A359" s="144"/>
      <c r="B359" s="144"/>
      <c r="C359" s="145"/>
      <c r="D359" s="145"/>
      <c r="E359" s="148"/>
      <c r="F359" s="155"/>
      <c r="G359" s="144"/>
      <c r="H359" s="144"/>
      <c r="I359" s="144"/>
      <c r="J359" s="145"/>
      <c r="K359" s="145"/>
      <c r="L359" s="148"/>
      <c r="M359" s="155"/>
      <c r="N359" s="144"/>
      <c r="O359" s="144"/>
      <c r="P359" s="144"/>
      <c r="Q359" s="145"/>
      <c r="R359" s="145"/>
      <c r="S359" s="154"/>
      <c r="T359" s="155"/>
      <c r="U359" s="144"/>
      <c r="V359" s="144"/>
    </row>
    <row r="360" spans="1:22" ht="14" x14ac:dyDescent="0.15">
      <c r="A360" s="144"/>
      <c r="B360" s="144"/>
      <c r="C360" s="145"/>
      <c r="D360" s="145"/>
      <c r="E360" s="148"/>
      <c r="F360" s="155"/>
      <c r="G360" s="144"/>
      <c r="H360" s="144"/>
      <c r="I360" s="144"/>
      <c r="J360" s="145"/>
      <c r="K360" s="145"/>
      <c r="L360" s="148"/>
      <c r="M360" s="155"/>
      <c r="N360" s="144"/>
      <c r="O360" s="144"/>
      <c r="P360" s="144"/>
      <c r="Q360" s="145"/>
      <c r="R360" s="145"/>
      <c r="S360" s="154"/>
      <c r="T360" s="155"/>
      <c r="U360" s="144"/>
      <c r="V360" s="144"/>
    </row>
    <row r="361" spans="1:22" ht="14" x14ac:dyDescent="0.15">
      <c r="A361" s="144"/>
      <c r="B361" s="144"/>
      <c r="C361" s="145"/>
      <c r="D361" s="145"/>
      <c r="E361" s="148"/>
      <c r="F361" s="155"/>
      <c r="G361" s="144"/>
      <c r="H361" s="144"/>
      <c r="I361" s="144"/>
      <c r="J361" s="145"/>
      <c r="K361" s="145"/>
      <c r="L361" s="148"/>
      <c r="M361" s="155"/>
      <c r="N361" s="144"/>
      <c r="O361" s="144"/>
      <c r="P361" s="144"/>
      <c r="Q361" s="145"/>
      <c r="R361" s="145"/>
      <c r="S361" s="154"/>
      <c r="T361" s="155"/>
      <c r="U361" s="144"/>
      <c r="V361" s="144"/>
    </row>
    <row r="362" spans="1:22" ht="14" x14ac:dyDescent="0.15">
      <c r="A362" s="144"/>
      <c r="B362" s="144"/>
      <c r="C362" s="145"/>
      <c r="D362" s="145"/>
      <c r="E362" s="148"/>
      <c r="F362" s="155"/>
      <c r="G362" s="144"/>
      <c r="H362" s="144"/>
      <c r="I362" s="144"/>
      <c r="J362" s="145"/>
      <c r="K362" s="145"/>
      <c r="L362" s="148"/>
      <c r="M362" s="155"/>
      <c r="N362" s="144"/>
      <c r="O362" s="144"/>
      <c r="P362" s="144"/>
      <c r="Q362" s="145"/>
      <c r="R362" s="145"/>
      <c r="S362" s="154"/>
      <c r="T362" s="155"/>
      <c r="U362" s="144"/>
      <c r="V362" s="144"/>
    </row>
    <row r="363" spans="1:22" ht="14" x14ac:dyDescent="0.15">
      <c r="A363" s="144"/>
      <c r="B363" s="144"/>
      <c r="C363" s="145"/>
      <c r="D363" s="145"/>
      <c r="E363" s="148"/>
      <c r="F363" s="155"/>
      <c r="G363" s="144"/>
      <c r="H363" s="144"/>
      <c r="I363" s="144"/>
      <c r="J363" s="145"/>
      <c r="K363" s="145"/>
      <c r="L363" s="148"/>
      <c r="M363" s="155"/>
      <c r="N363" s="144"/>
      <c r="O363" s="144"/>
      <c r="P363" s="144"/>
      <c r="Q363" s="145"/>
      <c r="R363" s="145"/>
      <c r="S363" s="154"/>
      <c r="T363" s="155"/>
      <c r="U363" s="144"/>
      <c r="V363" s="144"/>
    </row>
    <row r="364" spans="1:22" ht="14" x14ac:dyDescent="0.15">
      <c r="A364" s="144"/>
      <c r="B364" s="144"/>
      <c r="C364" s="145"/>
      <c r="D364" s="145"/>
      <c r="E364" s="148"/>
      <c r="F364" s="155"/>
      <c r="G364" s="144"/>
      <c r="H364" s="144"/>
      <c r="I364" s="144"/>
      <c r="J364" s="145"/>
      <c r="K364" s="145"/>
      <c r="L364" s="148"/>
      <c r="M364" s="155"/>
      <c r="N364" s="144"/>
      <c r="O364" s="144"/>
      <c r="P364" s="144"/>
      <c r="Q364" s="145"/>
      <c r="R364" s="145"/>
      <c r="S364" s="154"/>
      <c r="T364" s="155"/>
      <c r="U364" s="144"/>
      <c r="V364" s="144"/>
    </row>
    <row r="365" spans="1:22" ht="14" x14ac:dyDescent="0.15">
      <c r="A365" s="144"/>
      <c r="B365" s="144"/>
      <c r="C365" s="145"/>
      <c r="D365" s="145"/>
      <c r="E365" s="148"/>
      <c r="F365" s="155"/>
      <c r="G365" s="144"/>
      <c r="H365" s="144"/>
      <c r="I365" s="144"/>
      <c r="J365" s="145"/>
      <c r="K365" s="145"/>
      <c r="L365" s="148"/>
      <c r="M365" s="155"/>
      <c r="N365" s="144"/>
      <c r="O365" s="144"/>
      <c r="P365" s="144"/>
      <c r="Q365" s="145"/>
      <c r="R365" s="145"/>
      <c r="S365" s="154"/>
      <c r="T365" s="155"/>
      <c r="U365" s="144"/>
      <c r="V365" s="144"/>
    </row>
    <row r="366" spans="1:22" ht="14" x14ac:dyDescent="0.15">
      <c r="A366" s="144"/>
      <c r="B366" s="144"/>
      <c r="C366" s="145"/>
      <c r="D366" s="145"/>
      <c r="E366" s="148"/>
      <c r="F366" s="155"/>
      <c r="G366" s="144"/>
      <c r="H366" s="144"/>
      <c r="I366" s="144"/>
      <c r="J366" s="145"/>
      <c r="K366" s="145"/>
      <c r="L366" s="148"/>
      <c r="M366" s="155"/>
      <c r="N366" s="144"/>
      <c r="O366" s="144"/>
      <c r="P366" s="144"/>
      <c r="Q366" s="145"/>
      <c r="R366" s="145"/>
      <c r="S366" s="154"/>
      <c r="T366" s="155"/>
      <c r="U366" s="144"/>
      <c r="V366" s="144"/>
    </row>
    <row r="367" spans="1:22" ht="14" x14ac:dyDescent="0.15">
      <c r="A367" s="144"/>
      <c r="B367" s="144"/>
      <c r="C367" s="145"/>
      <c r="D367" s="145"/>
      <c r="E367" s="148"/>
      <c r="F367" s="155"/>
      <c r="G367" s="144"/>
      <c r="H367" s="144"/>
      <c r="I367" s="144"/>
      <c r="J367" s="145"/>
      <c r="K367" s="145"/>
      <c r="L367" s="148"/>
      <c r="M367" s="155"/>
      <c r="N367" s="144"/>
      <c r="O367" s="144"/>
      <c r="P367" s="144"/>
      <c r="Q367" s="145"/>
      <c r="R367" s="145"/>
      <c r="S367" s="154"/>
      <c r="T367" s="155"/>
      <c r="U367" s="144"/>
      <c r="V367" s="144"/>
    </row>
    <row r="368" spans="1:22" ht="14" x14ac:dyDescent="0.15">
      <c r="A368" s="144"/>
      <c r="B368" s="144"/>
      <c r="C368" s="145"/>
      <c r="D368" s="145"/>
      <c r="E368" s="148"/>
      <c r="F368" s="155"/>
      <c r="G368" s="144"/>
      <c r="H368" s="144"/>
      <c r="I368" s="144"/>
      <c r="J368" s="145"/>
      <c r="K368" s="145"/>
      <c r="L368" s="148"/>
      <c r="M368" s="155"/>
      <c r="N368" s="144"/>
      <c r="O368" s="144"/>
      <c r="P368" s="144"/>
      <c r="Q368" s="145"/>
      <c r="R368" s="145"/>
      <c r="S368" s="154"/>
      <c r="T368" s="155"/>
      <c r="U368" s="144"/>
      <c r="V368" s="144"/>
    </row>
    <row r="369" spans="1:22" ht="14" x14ac:dyDescent="0.15">
      <c r="A369" s="144"/>
      <c r="B369" s="144"/>
      <c r="C369" s="145"/>
      <c r="D369" s="145"/>
      <c r="E369" s="148"/>
      <c r="F369" s="155"/>
      <c r="G369" s="144"/>
      <c r="H369" s="144"/>
      <c r="I369" s="144"/>
      <c r="J369" s="145"/>
      <c r="K369" s="145"/>
      <c r="L369" s="148"/>
      <c r="M369" s="155"/>
      <c r="N369" s="144"/>
      <c r="O369" s="144"/>
      <c r="P369" s="144"/>
      <c r="Q369" s="145"/>
      <c r="R369" s="145"/>
      <c r="S369" s="154"/>
      <c r="T369" s="155"/>
      <c r="U369" s="144"/>
      <c r="V369" s="144"/>
    </row>
    <row r="370" spans="1:22" ht="14" x14ac:dyDescent="0.15">
      <c r="A370" s="144"/>
      <c r="B370" s="144"/>
      <c r="C370" s="145"/>
      <c r="D370" s="145"/>
      <c r="E370" s="148"/>
      <c r="F370" s="155"/>
      <c r="G370" s="144"/>
      <c r="H370" s="144"/>
      <c r="I370" s="144"/>
      <c r="J370" s="145"/>
      <c r="K370" s="145"/>
      <c r="L370" s="148"/>
      <c r="M370" s="155"/>
      <c r="N370" s="144"/>
      <c r="O370" s="144"/>
      <c r="P370" s="144"/>
      <c r="Q370" s="145"/>
      <c r="R370" s="145"/>
      <c r="S370" s="154"/>
      <c r="T370" s="155"/>
      <c r="U370" s="144"/>
      <c r="V370" s="144"/>
    </row>
    <row r="371" spans="1:22" ht="14" x14ac:dyDescent="0.15">
      <c r="A371" s="144"/>
      <c r="B371" s="144"/>
      <c r="C371" s="145"/>
      <c r="D371" s="145"/>
      <c r="E371" s="148"/>
      <c r="F371" s="155"/>
      <c r="G371" s="144"/>
      <c r="H371" s="144"/>
      <c r="I371" s="144"/>
      <c r="J371" s="145"/>
      <c r="K371" s="145"/>
      <c r="L371" s="148"/>
      <c r="M371" s="155"/>
      <c r="N371" s="144"/>
      <c r="O371" s="144"/>
      <c r="P371" s="144"/>
      <c r="Q371" s="145"/>
      <c r="R371" s="145"/>
      <c r="S371" s="154"/>
      <c r="T371" s="155"/>
      <c r="U371" s="144"/>
      <c r="V371" s="144"/>
    </row>
    <row r="372" spans="1:22" ht="14" x14ac:dyDescent="0.15">
      <c r="A372" s="144"/>
      <c r="B372" s="144"/>
      <c r="C372" s="145"/>
      <c r="D372" s="145"/>
      <c r="E372" s="148"/>
      <c r="F372" s="155"/>
      <c r="G372" s="144"/>
      <c r="H372" s="144"/>
      <c r="I372" s="144"/>
      <c r="J372" s="145"/>
      <c r="K372" s="145"/>
      <c r="L372" s="148"/>
      <c r="M372" s="155"/>
      <c r="N372" s="144"/>
      <c r="O372" s="144"/>
      <c r="P372" s="144"/>
      <c r="Q372" s="145"/>
      <c r="R372" s="145"/>
      <c r="S372" s="154"/>
      <c r="T372" s="155"/>
      <c r="U372" s="144"/>
      <c r="V372" s="144"/>
    </row>
    <row r="373" spans="1:22" ht="14" x14ac:dyDescent="0.15">
      <c r="A373" s="144"/>
      <c r="B373" s="144"/>
      <c r="C373" s="145"/>
      <c r="D373" s="145"/>
      <c r="E373" s="148"/>
      <c r="F373" s="155"/>
      <c r="G373" s="144"/>
      <c r="H373" s="144"/>
      <c r="I373" s="144"/>
      <c r="J373" s="145"/>
      <c r="K373" s="145"/>
      <c r="L373" s="148"/>
      <c r="M373" s="155"/>
      <c r="N373" s="144"/>
      <c r="O373" s="144"/>
      <c r="P373" s="144"/>
      <c r="Q373" s="145"/>
      <c r="R373" s="145"/>
      <c r="S373" s="154"/>
      <c r="T373" s="155"/>
      <c r="U373" s="144"/>
      <c r="V373" s="144"/>
    </row>
    <row r="374" spans="1:22" ht="14" x14ac:dyDescent="0.15">
      <c r="A374" s="144"/>
      <c r="B374" s="144"/>
      <c r="C374" s="145"/>
      <c r="D374" s="145"/>
      <c r="E374" s="148"/>
      <c r="F374" s="155"/>
      <c r="G374" s="144"/>
      <c r="H374" s="144"/>
      <c r="I374" s="144"/>
      <c r="J374" s="145"/>
      <c r="K374" s="145"/>
      <c r="L374" s="148"/>
      <c r="M374" s="155"/>
      <c r="N374" s="144"/>
      <c r="O374" s="144"/>
      <c r="P374" s="144"/>
      <c r="Q374" s="145"/>
      <c r="R374" s="145"/>
      <c r="S374" s="154"/>
      <c r="T374" s="155"/>
      <c r="U374" s="144"/>
      <c r="V374" s="144"/>
    </row>
    <row r="375" spans="1:22" ht="14" x14ac:dyDescent="0.15">
      <c r="A375" s="144"/>
      <c r="B375" s="144"/>
      <c r="C375" s="145"/>
      <c r="D375" s="145"/>
      <c r="E375" s="148"/>
      <c r="F375" s="155"/>
      <c r="G375" s="144"/>
      <c r="H375" s="144"/>
      <c r="I375" s="144"/>
      <c r="J375" s="145"/>
      <c r="K375" s="145"/>
      <c r="L375" s="148"/>
      <c r="M375" s="155"/>
      <c r="N375" s="144"/>
      <c r="O375" s="144"/>
      <c r="P375" s="144"/>
      <c r="Q375" s="145"/>
      <c r="R375" s="145"/>
      <c r="S375" s="154"/>
      <c r="T375" s="155"/>
      <c r="U375" s="144"/>
      <c r="V375" s="144"/>
    </row>
    <row r="376" spans="1:22" ht="14" x14ac:dyDescent="0.15">
      <c r="A376" s="144"/>
      <c r="B376" s="144"/>
      <c r="C376" s="145"/>
      <c r="D376" s="145"/>
      <c r="E376" s="148"/>
      <c r="F376" s="155"/>
      <c r="G376" s="144"/>
      <c r="H376" s="144"/>
      <c r="I376" s="144"/>
      <c r="J376" s="145"/>
      <c r="K376" s="145"/>
      <c r="L376" s="148"/>
      <c r="M376" s="155"/>
      <c r="N376" s="144"/>
      <c r="O376" s="144"/>
      <c r="P376" s="144"/>
      <c r="Q376" s="145"/>
      <c r="R376" s="145"/>
      <c r="S376" s="154"/>
      <c r="T376" s="155"/>
      <c r="U376" s="144"/>
      <c r="V376" s="144"/>
    </row>
    <row r="377" spans="1:22" ht="14" x14ac:dyDescent="0.15">
      <c r="A377" s="144"/>
      <c r="B377" s="144"/>
      <c r="C377" s="145"/>
      <c r="D377" s="145"/>
      <c r="E377" s="148"/>
      <c r="F377" s="155"/>
      <c r="G377" s="144"/>
      <c r="H377" s="144"/>
      <c r="I377" s="144"/>
      <c r="J377" s="145"/>
      <c r="K377" s="145"/>
      <c r="L377" s="148"/>
      <c r="M377" s="155"/>
      <c r="N377" s="144"/>
      <c r="O377" s="144"/>
      <c r="P377" s="144"/>
      <c r="Q377" s="145"/>
      <c r="R377" s="145"/>
      <c r="S377" s="154"/>
      <c r="T377" s="155"/>
      <c r="U377" s="144"/>
      <c r="V377" s="144"/>
    </row>
    <row r="378" spans="1:22" ht="14" x14ac:dyDescent="0.15">
      <c r="A378" s="144"/>
      <c r="B378" s="144"/>
      <c r="C378" s="145"/>
      <c r="D378" s="145"/>
      <c r="E378" s="148"/>
      <c r="F378" s="155"/>
      <c r="G378" s="144"/>
      <c r="H378" s="144"/>
      <c r="I378" s="144"/>
      <c r="J378" s="145"/>
      <c r="K378" s="145"/>
      <c r="L378" s="148"/>
      <c r="M378" s="155"/>
      <c r="N378" s="144"/>
      <c r="O378" s="144"/>
      <c r="P378" s="144"/>
      <c r="Q378" s="145"/>
      <c r="R378" s="145"/>
      <c r="S378" s="154"/>
      <c r="T378" s="155"/>
      <c r="U378" s="144"/>
      <c r="V378" s="144"/>
    </row>
    <row r="379" spans="1:22" ht="14" x14ac:dyDescent="0.15">
      <c r="A379" s="144"/>
      <c r="B379" s="144"/>
      <c r="C379" s="145"/>
      <c r="D379" s="145"/>
      <c r="E379" s="148"/>
      <c r="F379" s="155"/>
      <c r="G379" s="144"/>
      <c r="H379" s="144"/>
      <c r="I379" s="144"/>
      <c r="J379" s="145"/>
      <c r="K379" s="145"/>
      <c r="L379" s="148"/>
      <c r="M379" s="155"/>
      <c r="N379" s="144"/>
      <c r="O379" s="144"/>
      <c r="P379" s="144"/>
      <c r="Q379" s="145"/>
      <c r="R379" s="145"/>
      <c r="S379" s="154"/>
      <c r="T379" s="155"/>
      <c r="U379" s="144"/>
      <c r="V379" s="144"/>
    </row>
    <row r="380" spans="1:22" ht="14" x14ac:dyDescent="0.15">
      <c r="A380" s="144"/>
      <c r="B380" s="144"/>
      <c r="C380" s="145"/>
      <c r="D380" s="145"/>
      <c r="E380" s="148"/>
      <c r="F380" s="155"/>
      <c r="G380" s="144"/>
      <c r="H380" s="144"/>
      <c r="I380" s="144"/>
      <c r="J380" s="145"/>
      <c r="K380" s="145"/>
      <c r="L380" s="148"/>
      <c r="M380" s="155"/>
      <c r="N380" s="144"/>
      <c r="O380" s="144"/>
      <c r="P380" s="144"/>
      <c r="Q380" s="145"/>
      <c r="R380" s="145"/>
      <c r="S380" s="154"/>
      <c r="T380" s="155"/>
      <c r="U380" s="144"/>
      <c r="V380" s="144"/>
    </row>
    <row r="381" spans="1:22" ht="14" x14ac:dyDescent="0.15">
      <c r="A381" s="144"/>
      <c r="B381" s="144"/>
      <c r="C381" s="145"/>
      <c r="D381" s="145"/>
      <c r="E381" s="148"/>
      <c r="F381" s="155"/>
      <c r="G381" s="144"/>
      <c r="H381" s="144"/>
      <c r="I381" s="144"/>
      <c r="J381" s="145"/>
      <c r="K381" s="145"/>
      <c r="L381" s="148"/>
      <c r="M381" s="155"/>
      <c r="N381" s="144"/>
      <c r="O381" s="144"/>
      <c r="P381" s="144"/>
      <c r="Q381" s="145"/>
      <c r="R381" s="145"/>
      <c r="S381" s="154"/>
      <c r="T381" s="155"/>
      <c r="U381" s="144"/>
      <c r="V381" s="144"/>
    </row>
    <row r="382" spans="1:22" ht="14" x14ac:dyDescent="0.15">
      <c r="A382" s="144"/>
      <c r="B382" s="144"/>
      <c r="C382" s="145"/>
      <c r="D382" s="145"/>
      <c r="E382" s="148"/>
      <c r="F382" s="155"/>
      <c r="G382" s="144"/>
      <c r="H382" s="144"/>
      <c r="I382" s="144"/>
      <c r="J382" s="145"/>
      <c r="K382" s="145"/>
      <c r="L382" s="148"/>
      <c r="M382" s="155"/>
      <c r="N382" s="144"/>
      <c r="O382" s="144"/>
      <c r="P382" s="144"/>
      <c r="Q382" s="145"/>
      <c r="R382" s="145"/>
      <c r="S382" s="154"/>
      <c r="T382" s="155"/>
      <c r="U382" s="144"/>
      <c r="V382" s="144"/>
    </row>
    <row r="383" spans="1:22" ht="14" x14ac:dyDescent="0.15">
      <c r="A383" s="144"/>
      <c r="B383" s="144"/>
      <c r="C383" s="145"/>
      <c r="D383" s="145"/>
      <c r="E383" s="148"/>
      <c r="F383" s="155"/>
      <c r="G383" s="144"/>
      <c r="H383" s="144"/>
      <c r="I383" s="144"/>
      <c r="J383" s="145"/>
      <c r="K383" s="145"/>
      <c r="L383" s="148"/>
      <c r="M383" s="155"/>
      <c r="N383" s="144"/>
      <c r="O383" s="144"/>
      <c r="P383" s="144"/>
      <c r="Q383" s="145"/>
      <c r="R383" s="145"/>
      <c r="S383" s="154"/>
      <c r="T383" s="155"/>
      <c r="U383" s="144"/>
      <c r="V383" s="144"/>
    </row>
    <row r="384" spans="1:22" ht="14" x14ac:dyDescent="0.15">
      <c r="A384" s="144"/>
      <c r="B384" s="144"/>
      <c r="C384" s="145"/>
      <c r="D384" s="145"/>
      <c r="E384" s="148"/>
      <c r="F384" s="155"/>
      <c r="G384" s="144"/>
      <c r="H384" s="144"/>
      <c r="I384" s="144"/>
      <c r="J384" s="145"/>
      <c r="K384" s="145"/>
      <c r="L384" s="148"/>
      <c r="M384" s="155"/>
      <c r="N384" s="144"/>
      <c r="O384" s="144"/>
      <c r="P384" s="144"/>
      <c r="Q384" s="145"/>
      <c r="R384" s="145"/>
      <c r="S384" s="154"/>
      <c r="T384" s="155"/>
      <c r="U384" s="144"/>
      <c r="V384" s="144"/>
    </row>
    <row r="385" spans="1:22" ht="14" x14ac:dyDescent="0.15">
      <c r="A385" s="144"/>
      <c r="B385" s="144"/>
      <c r="C385" s="145"/>
      <c r="D385" s="145"/>
      <c r="E385" s="148"/>
      <c r="F385" s="155"/>
      <c r="G385" s="144"/>
      <c r="H385" s="144"/>
      <c r="I385" s="144"/>
      <c r="J385" s="145"/>
      <c r="K385" s="145"/>
      <c r="L385" s="148"/>
      <c r="M385" s="155"/>
      <c r="N385" s="144"/>
      <c r="O385" s="144"/>
      <c r="P385" s="144"/>
      <c r="Q385" s="145"/>
      <c r="R385" s="145"/>
      <c r="S385" s="154"/>
      <c r="T385" s="155"/>
      <c r="U385" s="144"/>
      <c r="V385" s="144"/>
    </row>
    <row r="386" spans="1:22" ht="14" x14ac:dyDescent="0.15">
      <c r="A386" s="144"/>
      <c r="B386" s="144"/>
      <c r="C386" s="145"/>
      <c r="D386" s="145"/>
      <c r="E386" s="148"/>
      <c r="F386" s="155"/>
      <c r="G386" s="144"/>
      <c r="H386" s="144"/>
      <c r="I386" s="144"/>
      <c r="J386" s="145"/>
      <c r="K386" s="145"/>
      <c r="L386" s="148"/>
      <c r="M386" s="155"/>
      <c r="N386" s="144"/>
      <c r="O386" s="144"/>
      <c r="P386" s="144"/>
      <c r="Q386" s="145"/>
      <c r="R386" s="145"/>
      <c r="S386" s="154"/>
      <c r="T386" s="155"/>
      <c r="U386" s="144"/>
      <c r="V386" s="144"/>
    </row>
    <row r="387" spans="1:22" ht="14" x14ac:dyDescent="0.15">
      <c r="A387" s="144"/>
      <c r="B387" s="144"/>
      <c r="C387" s="145"/>
      <c r="D387" s="145"/>
      <c r="E387" s="148"/>
      <c r="F387" s="155"/>
      <c r="G387" s="144"/>
      <c r="H387" s="144"/>
      <c r="I387" s="144"/>
      <c r="J387" s="145"/>
      <c r="K387" s="145"/>
      <c r="L387" s="148"/>
      <c r="M387" s="155"/>
      <c r="N387" s="144"/>
      <c r="O387" s="144"/>
      <c r="P387" s="144"/>
      <c r="Q387" s="145"/>
      <c r="R387" s="145"/>
      <c r="S387" s="154"/>
      <c r="T387" s="155"/>
      <c r="U387" s="144"/>
      <c r="V387" s="144"/>
    </row>
    <row r="388" spans="1:22" ht="14" x14ac:dyDescent="0.15">
      <c r="A388" s="144"/>
      <c r="B388" s="144"/>
      <c r="C388" s="145"/>
      <c r="D388" s="145"/>
      <c r="E388" s="148"/>
      <c r="F388" s="155"/>
      <c r="G388" s="144"/>
      <c r="H388" s="144"/>
      <c r="I388" s="144"/>
      <c r="J388" s="145"/>
      <c r="K388" s="145"/>
      <c r="L388" s="148"/>
      <c r="M388" s="155"/>
      <c r="N388" s="144"/>
      <c r="O388" s="144"/>
      <c r="P388" s="144"/>
      <c r="Q388" s="145"/>
      <c r="R388" s="145"/>
      <c r="S388" s="154"/>
      <c r="T388" s="155"/>
      <c r="U388" s="144"/>
      <c r="V388" s="144"/>
    </row>
    <row r="389" spans="1:22" ht="14" x14ac:dyDescent="0.15">
      <c r="A389" s="144"/>
      <c r="B389" s="144"/>
      <c r="C389" s="145"/>
      <c r="D389" s="145"/>
      <c r="E389" s="148"/>
      <c r="F389" s="155"/>
      <c r="G389" s="144"/>
      <c r="H389" s="144"/>
      <c r="I389" s="144"/>
      <c r="J389" s="145"/>
      <c r="K389" s="145"/>
      <c r="L389" s="148"/>
      <c r="M389" s="155"/>
      <c r="N389" s="144"/>
      <c r="O389" s="144"/>
      <c r="P389" s="144"/>
      <c r="Q389" s="145"/>
      <c r="R389" s="145"/>
      <c r="S389" s="154"/>
      <c r="T389" s="155"/>
      <c r="U389" s="144"/>
      <c r="V389" s="144"/>
    </row>
    <row r="390" spans="1:22" ht="14" x14ac:dyDescent="0.15">
      <c r="A390" s="144"/>
      <c r="B390" s="144"/>
      <c r="C390" s="145"/>
      <c r="D390" s="145"/>
      <c r="E390" s="148"/>
      <c r="F390" s="155"/>
      <c r="G390" s="144"/>
      <c r="H390" s="144"/>
      <c r="I390" s="144"/>
      <c r="J390" s="145"/>
      <c r="K390" s="145"/>
      <c r="L390" s="148"/>
      <c r="M390" s="155"/>
      <c r="N390" s="144"/>
      <c r="O390" s="144"/>
      <c r="P390" s="144"/>
      <c r="Q390" s="145"/>
      <c r="R390" s="145"/>
      <c r="S390" s="154"/>
      <c r="T390" s="155"/>
      <c r="U390" s="144"/>
      <c r="V390" s="144"/>
    </row>
    <row r="391" spans="1:22" ht="14" x14ac:dyDescent="0.15">
      <c r="A391" s="144"/>
      <c r="B391" s="144"/>
      <c r="C391" s="145"/>
      <c r="D391" s="145"/>
      <c r="E391" s="148"/>
      <c r="F391" s="155"/>
      <c r="G391" s="144"/>
      <c r="H391" s="144"/>
      <c r="I391" s="144"/>
      <c r="J391" s="145"/>
      <c r="K391" s="145"/>
      <c r="L391" s="148"/>
      <c r="M391" s="155"/>
      <c r="N391" s="144"/>
      <c r="O391" s="144"/>
      <c r="P391" s="144"/>
      <c r="Q391" s="145"/>
      <c r="R391" s="145"/>
      <c r="S391" s="154"/>
      <c r="T391" s="155"/>
      <c r="U391" s="144"/>
      <c r="V391" s="144"/>
    </row>
    <row r="392" spans="1:22" ht="14" x14ac:dyDescent="0.15">
      <c r="A392" s="144"/>
      <c r="B392" s="144"/>
      <c r="C392" s="145"/>
      <c r="D392" s="145"/>
      <c r="E392" s="148"/>
      <c r="F392" s="155"/>
      <c r="G392" s="144"/>
      <c r="H392" s="144"/>
      <c r="I392" s="144"/>
      <c r="J392" s="145"/>
      <c r="K392" s="145"/>
      <c r="L392" s="148"/>
      <c r="M392" s="155"/>
      <c r="N392" s="144"/>
      <c r="O392" s="144"/>
      <c r="P392" s="144"/>
      <c r="Q392" s="145"/>
      <c r="R392" s="145"/>
      <c r="S392" s="154"/>
      <c r="T392" s="155"/>
      <c r="U392" s="144"/>
      <c r="V392" s="144"/>
    </row>
    <row r="393" spans="1:22" ht="14" x14ac:dyDescent="0.15">
      <c r="A393" s="144"/>
      <c r="B393" s="144"/>
      <c r="C393" s="145"/>
      <c r="D393" s="145"/>
      <c r="E393" s="148"/>
      <c r="F393" s="155"/>
      <c r="G393" s="144"/>
      <c r="H393" s="144"/>
      <c r="I393" s="144"/>
      <c r="J393" s="145"/>
      <c r="K393" s="145"/>
      <c r="L393" s="148"/>
      <c r="M393" s="155"/>
      <c r="N393" s="144"/>
      <c r="O393" s="144"/>
      <c r="P393" s="144"/>
      <c r="Q393" s="145"/>
      <c r="R393" s="145"/>
      <c r="S393" s="154"/>
      <c r="T393" s="155"/>
      <c r="U393" s="144"/>
      <c r="V393" s="144"/>
    </row>
    <row r="394" spans="1:22" ht="14" x14ac:dyDescent="0.15">
      <c r="A394" s="144"/>
      <c r="B394" s="144"/>
      <c r="C394" s="145"/>
      <c r="D394" s="145"/>
      <c r="E394" s="148"/>
      <c r="F394" s="155"/>
      <c r="G394" s="144"/>
      <c r="H394" s="144"/>
      <c r="I394" s="144"/>
      <c r="J394" s="145"/>
      <c r="K394" s="145"/>
      <c r="L394" s="148"/>
      <c r="M394" s="155"/>
      <c r="N394" s="144"/>
      <c r="O394" s="144"/>
      <c r="P394" s="144"/>
      <c r="Q394" s="145"/>
      <c r="R394" s="145"/>
      <c r="S394" s="154"/>
      <c r="T394" s="155"/>
      <c r="U394" s="144"/>
      <c r="V394" s="144"/>
    </row>
    <row r="395" spans="1:22" ht="14" x14ac:dyDescent="0.15">
      <c r="A395" s="144"/>
      <c r="B395" s="144"/>
      <c r="C395" s="145"/>
      <c r="D395" s="145"/>
      <c r="E395" s="148"/>
      <c r="F395" s="155"/>
      <c r="G395" s="144"/>
      <c r="H395" s="144"/>
      <c r="I395" s="144"/>
      <c r="J395" s="145"/>
      <c r="K395" s="145"/>
      <c r="L395" s="148"/>
      <c r="M395" s="155"/>
      <c r="N395" s="144"/>
      <c r="O395" s="144"/>
      <c r="P395" s="144"/>
      <c r="Q395" s="145"/>
      <c r="R395" s="145"/>
      <c r="S395" s="154"/>
      <c r="T395" s="155"/>
      <c r="U395" s="144"/>
      <c r="V395" s="144"/>
    </row>
    <row r="396" spans="1:22" ht="14" x14ac:dyDescent="0.15">
      <c r="A396" s="144"/>
      <c r="B396" s="144"/>
      <c r="C396" s="145"/>
      <c r="D396" s="145"/>
      <c r="E396" s="148"/>
      <c r="F396" s="155"/>
      <c r="G396" s="144"/>
      <c r="H396" s="144"/>
      <c r="I396" s="144"/>
      <c r="J396" s="145"/>
      <c r="K396" s="145"/>
      <c r="L396" s="148"/>
      <c r="M396" s="155"/>
      <c r="N396" s="144"/>
      <c r="O396" s="144"/>
      <c r="P396" s="144"/>
      <c r="Q396" s="145"/>
      <c r="R396" s="145"/>
      <c r="S396" s="154"/>
      <c r="T396" s="155"/>
      <c r="U396" s="144"/>
      <c r="V396" s="144"/>
    </row>
    <row r="397" spans="1:22" ht="14" x14ac:dyDescent="0.15">
      <c r="A397" s="144"/>
      <c r="B397" s="144"/>
      <c r="C397" s="145"/>
      <c r="D397" s="145"/>
      <c r="E397" s="148"/>
      <c r="F397" s="155"/>
      <c r="G397" s="144"/>
      <c r="H397" s="144"/>
      <c r="I397" s="144"/>
      <c r="J397" s="145"/>
      <c r="K397" s="145"/>
      <c r="L397" s="148"/>
      <c r="M397" s="155"/>
      <c r="N397" s="144"/>
      <c r="O397" s="144"/>
      <c r="P397" s="144"/>
      <c r="Q397" s="145"/>
      <c r="R397" s="145"/>
      <c r="S397" s="154"/>
      <c r="T397" s="155"/>
      <c r="U397" s="144"/>
      <c r="V397" s="144"/>
    </row>
    <row r="398" spans="1:22" ht="14" x14ac:dyDescent="0.15">
      <c r="A398" s="144"/>
      <c r="B398" s="144"/>
      <c r="C398" s="145"/>
      <c r="D398" s="145"/>
      <c r="E398" s="148"/>
      <c r="F398" s="155"/>
      <c r="G398" s="144"/>
      <c r="H398" s="144"/>
      <c r="I398" s="144"/>
      <c r="J398" s="145"/>
      <c r="K398" s="145"/>
      <c r="L398" s="148"/>
      <c r="M398" s="155"/>
      <c r="N398" s="144"/>
      <c r="O398" s="144"/>
      <c r="P398" s="144"/>
      <c r="Q398" s="145"/>
      <c r="R398" s="145"/>
      <c r="S398" s="154"/>
      <c r="T398" s="155"/>
      <c r="U398" s="144"/>
      <c r="V398" s="144"/>
    </row>
    <row r="399" spans="1:22" ht="14" x14ac:dyDescent="0.15">
      <c r="A399" s="144"/>
      <c r="B399" s="144"/>
      <c r="C399" s="145"/>
      <c r="D399" s="145"/>
      <c r="E399" s="148"/>
      <c r="F399" s="155"/>
      <c r="G399" s="144"/>
      <c r="H399" s="144"/>
      <c r="I399" s="144"/>
      <c r="J399" s="145"/>
      <c r="K399" s="145"/>
      <c r="L399" s="148"/>
      <c r="M399" s="155"/>
      <c r="N399" s="144"/>
      <c r="O399" s="144"/>
      <c r="P399" s="144"/>
      <c r="Q399" s="145"/>
      <c r="R399" s="145"/>
      <c r="S399" s="154"/>
      <c r="T399" s="155"/>
      <c r="U399" s="144"/>
      <c r="V399" s="144"/>
    </row>
    <row r="400" spans="1:22" ht="14" x14ac:dyDescent="0.15">
      <c r="A400" s="144"/>
      <c r="B400" s="144"/>
      <c r="C400" s="145"/>
      <c r="D400" s="145"/>
      <c r="E400" s="148"/>
      <c r="F400" s="155"/>
      <c r="G400" s="144"/>
      <c r="H400" s="144"/>
      <c r="I400" s="144"/>
      <c r="J400" s="145"/>
      <c r="K400" s="145"/>
      <c r="L400" s="148"/>
      <c r="M400" s="155"/>
      <c r="N400" s="144"/>
      <c r="O400" s="144"/>
      <c r="P400" s="144"/>
      <c r="Q400" s="145"/>
      <c r="R400" s="145"/>
      <c r="S400" s="154"/>
      <c r="T400" s="155"/>
      <c r="U400" s="144"/>
      <c r="V400" s="144"/>
    </row>
    <row r="401" spans="1:22" ht="14" x14ac:dyDescent="0.15">
      <c r="A401" s="144"/>
      <c r="B401" s="144"/>
      <c r="C401" s="145"/>
      <c r="D401" s="145"/>
      <c r="E401" s="148"/>
      <c r="F401" s="155"/>
      <c r="G401" s="144"/>
      <c r="H401" s="144"/>
      <c r="I401" s="144"/>
      <c r="J401" s="145"/>
      <c r="K401" s="145"/>
      <c r="L401" s="148"/>
      <c r="M401" s="155"/>
      <c r="N401" s="144"/>
      <c r="O401" s="144"/>
      <c r="P401" s="144"/>
      <c r="Q401" s="145"/>
      <c r="R401" s="145"/>
      <c r="S401" s="154"/>
      <c r="T401" s="155"/>
      <c r="U401" s="144"/>
      <c r="V401" s="144"/>
    </row>
    <row r="402" spans="1:22" ht="14" x14ac:dyDescent="0.15">
      <c r="A402" s="144"/>
      <c r="B402" s="144"/>
      <c r="C402" s="145"/>
      <c r="D402" s="145"/>
      <c r="E402" s="148"/>
      <c r="F402" s="155"/>
      <c r="G402" s="144"/>
      <c r="H402" s="144"/>
      <c r="I402" s="144"/>
      <c r="J402" s="145"/>
      <c r="K402" s="145"/>
      <c r="L402" s="148"/>
      <c r="M402" s="155"/>
      <c r="N402" s="144"/>
      <c r="O402" s="144"/>
      <c r="P402" s="144"/>
      <c r="Q402" s="145"/>
      <c r="R402" s="145"/>
      <c r="S402" s="154"/>
      <c r="T402" s="155"/>
      <c r="U402" s="144"/>
      <c r="V402" s="144"/>
    </row>
    <row r="403" spans="1:22" ht="14" x14ac:dyDescent="0.15">
      <c r="A403" s="144"/>
      <c r="B403" s="144"/>
      <c r="C403" s="145"/>
      <c r="D403" s="145"/>
      <c r="E403" s="148"/>
      <c r="F403" s="155"/>
      <c r="G403" s="144"/>
      <c r="H403" s="144"/>
      <c r="I403" s="144"/>
      <c r="J403" s="145"/>
      <c r="K403" s="145"/>
      <c r="L403" s="148"/>
      <c r="M403" s="155"/>
      <c r="N403" s="144"/>
      <c r="O403" s="144"/>
      <c r="P403" s="144"/>
      <c r="Q403" s="145"/>
      <c r="R403" s="145"/>
      <c r="S403" s="154"/>
      <c r="T403" s="155"/>
      <c r="U403" s="144"/>
      <c r="V403" s="144"/>
    </row>
    <row r="404" spans="1:22" ht="14" x14ac:dyDescent="0.15">
      <c r="A404" s="144"/>
      <c r="B404" s="144"/>
      <c r="C404" s="145"/>
      <c r="D404" s="145"/>
      <c r="E404" s="148"/>
      <c r="F404" s="155"/>
      <c r="G404" s="144"/>
      <c r="H404" s="144"/>
      <c r="I404" s="144"/>
      <c r="J404" s="145"/>
      <c r="K404" s="145"/>
      <c r="L404" s="148"/>
      <c r="M404" s="155"/>
      <c r="N404" s="144"/>
      <c r="O404" s="144"/>
      <c r="P404" s="144"/>
      <c r="Q404" s="145"/>
      <c r="R404" s="145"/>
      <c r="S404" s="154"/>
      <c r="T404" s="155"/>
      <c r="U404" s="144"/>
      <c r="V404" s="144"/>
    </row>
    <row r="405" spans="1:22" ht="14" x14ac:dyDescent="0.15">
      <c r="A405" s="144"/>
      <c r="B405" s="144"/>
      <c r="C405" s="145"/>
      <c r="D405" s="145"/>
      <c r="E405" s="148"/>
      <c r="F405" s="155"/>
      <c r="G405" s="144"/>
      <c r="H405" s="144"/>
      <c r="I405" s="144"/>
      <c r="J405" s="145"/>
      <c r="K405" s="145"/>
      <c r="L405" s="148"/>
      <c r="M405" s="155"/>
      <c r="N405" s="144"/>
      <c r="O405" s="144"/>
      <c r="P405" s="144"/>
      <c r="Q405" s="145"/>
      <c r="R405" s="145"/>
      <c r="S405" s="154"/>
      <c r="T405" s="155"/>
      <c r="U405" s="144"/>
      <c r="V405" s="144"/>
    </row>
    <row r="406" spans="1:22" ht="14" x14ac:dyDescent="0.15">
      <c r="A406" s="144"/>
      <c r="B406" s="144"/>
      <c r="C406" s="145"/>
      <c r="D406" s="145"/>
      <c r="E406" s="148"/>
      <c r="F406" s="155"/>
      <c r="G406" s="144"/>
      <c r="H406" s="144"/>
      <c r="I406" s="144"/>
      <c r="J406" s="145"/>
      <c r="K406" s="145"/>
      <c r="L406" s="148"/>
      <c r="M406" s="155"/>
      <c r="N406" s="144"/>
      <c r="O406" s="144"/>
      <c r="P406" s="144"/>
      <c r="Q406" s="145"/>
      <c r="R406" s="145"/>
      <c r="S406" s="154"/>
      <c r="T406" s="155"/>
      <c r="U406" s="144"/>
      <c r="V406" s="144"/>
    </row>
    <row r="407" spans="1:22" ht="14" x14ac:dyDescent="0.15">
      <c r="A407" s="144"/>
      <c r="B407" s="144"/>
      <c r="C407" s="145"/>
      <c r="D407" s="145"/>
      <c r="E407" s="148"/>
      <c r="F407" s="155"/>
      <c r="G407" s="144"/>
      <c r="H407" s="144"/>
      <c r="I407" s="144"/>
      <c r="J407" s="145"/>
      <c r="K407" s="145"/>
      <c r="L407" s="148"/>
      <c r="M407" s="155"/>
      <c r="N407" s="144"/>
      <c r="O407" s="144"/>
      <c r="P407" s="144"/>
      <c r="Q407" s="145"/>
      <c r="R407" s="145"/>
      <c r="S407" s="154"/>
      <c r="T407" s="155"/>
      <c r="U407" s="144"/>
      <c r="V407" s="144"/>
    </row>
    <row r="408" spans="1:22" ht="14" x14ac:dyDescent="0.15">
      <c r="A408" s="144"/>
      <c r="B408" s="144"/>
      <c r="C408" s="145"/>
      <c r="D408" s="145"/>
      <c r="E408" s="148"/>
      <c r="F408" s="155"/>
      <c r="G408" s="144"/>
      <c r="H408" s="144"/>
      <c r="I408" s="144"/>
      <c r="J408" s="145"/>
      <c r="K408" s="145"/>
      <c r="L408" s="148"/>
      <c r="M408" s="155"/>
      <c r="N408" s="144"/>
      <c r="O408" s="144"/>
      <c r="P408" s="144"/>
      <c r="Q408" s="145"/>
      <c r="R408" s="145"/>
      <c r="S408" s="154"/>
      <c r="T408" s="155"/>
      <c r="U408" s="144"/>
      <c r="V408" s="144"/>
    </row>
    <row r="409" spans="1:22" ht="14" x14ac:dyDescent="0.15">
      <c r="A409" s="144"/>
      <c r="B409" s="144"/>
      <c r="C409" s="145"/>
      <c r="D409" s="145"/>
      <c r="E409" s="148"/>
      <c r="F409" s="155"/>
      <c r="G409" s="144"/>
      <c r="H409" s="144"/>
      <c r="I409" s="144"/>
      <c r="J409" s="145"/>
      <c r="K409" s="145"/>
      <c r="L409" s="148"/>
      <c r="M409" s="155"/>
      <c r="N409" s="144"/>
      <c r="O409" s="144"/>
      <c r="P409" s="144"/>
      <c r="Q409" s="145"/>
      <c r="R409" s="145"/>
      <c r="S409" s="154"/>
      <c r="T409" s="155"/>
      <c r="U409" s="144"/>
      <c r="V409" s="144"/>
    </row>
    <row r="410" spans="1:22" ht="14" x14ac:dyDescent="0.15">
      <c r="A410" s="144"/>
      <c r="B410" s="144"/>
      <c r="C410" s="145"/>
      <c r="D410" s="145"/>
      <c r="E410" s="148"/>
      <c r="F410" s="155"/>
      <c r="G410" s="144"/>
      <c r="H410" s="144"/>
      <c r="I410" s="144"/>
      <c r="J410" s="145"/>
      <c r="K410" s="145"/>
      <c r="L410" s="148"/>
      <c r="M410" s="155"/>
      <c r="N410" s="144"/>
      <c r="O410" s="144"/>
      <c r="P410" s="144"/>
      <c r="Q410" s="145"/>
      <c r="R410" s="145"/>
      <c r="S410" s="154"/>
      <c r="T410" s="155"/>
      <c r="U410" s="144"/>
      <c r="V410" s="144"/>
    </row>
    <row r="411" spans="1:22" ht="14" x14ac:dyDescent="0.15">
      <c r="A411" s="144"/>
      <c r="B411" s="144"/>
      <c r="C411" s="145"/>
      <c r="D411" s="145"/>
      <c r="E411" s="148"/>
      <c r="F411" s="155"/>
      <c r="G411" s="144"/>
      <c r="H411" s="144"/>
      <c r="I411" s="144"/>
      <c r="J411" s="145"/>
      <c r="K411" s="145"/>
      <c r="L411" s="148"/>
      <c r="M411" s="155"/>
      <c r="N411" s="144"/>
      <c r="O411" s="144"/>
      <c r="P411" s="144"/>
      <c r="Q411" s="145"/>
      <c r="R411" s="145"/>
      <c r="S411" s="154"/>
      <c r="T411" s="155"/>
      <c r="U411" s="144"/>
      <c r="V411" s="144"/>
    </row>
    <row r="412" spans="1:22" ht="14" x14ac:dyDescent="0.15">
      <c r="A412" s="144"/>
      <c r="B412" s="144"/>
      <c r="C412" s="145"/>
      <c r="D412" s="145"/>
      <c r="E412" s="148"/>
      <c r="F412" s="155"/>
      <c r="G412" s="144"/>
      <c r="H412" s="144"/>
      <c r="I412" s="144"/>
      <c r="J412" s="145"/>
      <c r="K412" s="145"/>
      <c r="L412" s="148"/>
      <c r="M412" s="155"/>
      <c r="N412" s="144"/>
      <c r="O412" s="144"/>
      <c r="P412" s="144"/>
      <c r="Q412" s="145"/>
      <c r="R412" s="145"/>
      <c r="S412" s="154"/>
      <c r="T412" s="155"/>
      <c r="U412" s="144"/>
      <c r="V412" s="144"/>
    </row>
    <row r="413" spans="1:22" ht="14" x14ac:dyDescent="0.15">
      <c r="A413" s="144"/>
      <c r="B413" s="144"/>
      <c r="C413" s="145"/>
      <c r="D413" s="145"/>
      <c r="E413" s="148"/>
      <c r="F413" s="155"/>
      <c r="G413" s="144"/>
      <c r="H413" s="144"/>
      <c r="I413" s="144"/>
      <c r="J413" s="145"/>
      <c r="K413" s="145"/>
      <c r="L413" s="148"/>
      <c r="M413" s="155"/>
      <c r="N413" s="144"/>
      <c r="O413" s="144"/>
      <c r="P413" s="144"/>
      <c r="Q413" s="145"/>
      <c r="R413" s="145"/>
      <c r="S413" s="154"/>
      <c r="T413" s="155"/>
      <c r="U413" s="144"/>
      <c r="V413" s="144"/>
    </row>
    <row r="414" spans="1:22" ht="14" x14ac:dyDescent="0.15">
      <c r="A414" s="144"/>
      <c r="B414" s="144"/>
      <c r="C414" s="145"/>
      <c r="D414" s="145"/>
      <c r="E414" s="148"/>
      <c r="F414" s="155"/>
      <c r="G414" s="144"/>
      <c r="H414" s="144"/>
      <c r="I414" s="144"/>
      <c r="J414" s="145"/>
      <c r="K414" s="145"/>
      <c r="L414" s="148"/>
      <c r="M414" s="155"/>
      <c r="N414" s="144"/>
      <c r="O414" s="144"/>
      <c r="P414" s="144"/>
      <c r="Q414" s="145"/>
      <c r="R414" s="145"/>
      <c r="S414" s="154"/>
      <c r="T414" s="155"/>
      <c r="U414" s="144"/>
      <c r="V414" s="144"/>
    </row>
    <row r="415" spans="1:22" ht="14" x14ac:dyDescent="0.15">
      <c r="A415" s="144"/>
      <c r="B415" s="144"/>
      <c r="C415" s="145"/>
      <c r="D415" s="145"/>
      <c r="E415" s="148"/>
      <c r="F415" s="155"/>
      <c r="G415" s="144"/>
      <c r="H415" s="144"/>
      <c r="I415" s="144"/>
      <c r="J415" s="145"/>
      <c r="K415" s="145"/>
      <c r="L415" s="148"/>
      <c r="M415" s="155"/>
      <c r="N415" s="144"/>
      <c r="O415" s="144"/>
      <c r="P415" s="144"/>
      <c r="Q415" s="145"/>
      <c r="R415" s="145"/>
      <c r="S415" s="154"/>
      <c r="T415" s="155"/>
      <c r="U415" s="144"/>
      <c r="V415" s="144"/>
    </row>
    <row r="416" spans="1:22" ht="14" x14ac:dyDescent="0.15">
      <c r="A416" s="144"/>
      <c r="B416" s="144"/>
      <c r="C416" s="145"/>
      <c r="D416" s="145"/>
      <c r="E416" s="148"/>
      <c r="F416" s="155"/>
      <c r="G416" s="144"/>
      <c r="H416" s="144"/>
      <c r="I416" s="144"/>
      <c r="J416" s="145"/>
      <c r="K416" s="145"/>
      <c r="L416" s="148"/>
      <c r="M416" s="155"/>
      <c r="N416" s="144"/>
      <c r="O416" s="144"/>
      <c r="P416" s="144"/>
      <c r="Q416" s="145"/>
      <c r="R416" s="145"/>
      <c r="S416" s="154"/>
      <c r="T416" s="155"/>
      <c r="U416" s="144"/>
      <c r="V416" s="144"/>
    </row>
    <row r="417" spans="1:22" ht="14" x14ac:dyDescent="0.15">
      <c r="A417" s="144"/>
      <c r="B417" s="144"/>
      <c r="C417" s="145"/>
      <c r="D417" s="145"/>
      <c r="E417" s="148"/>
      <c r="F417" s="155"/>
      <c r="G417" s="144"/>
      <c r="H417" s="144"/>
      <c r="I417" s="144"/>
      <c r="J417" s="145"/>
      <c r="K417" s="145"/>
      <c r="L417" s="148"/>
      <c r="M417" s="155"/>
      <c r="N417" s="144"/>
      <c r="O417" s="144"/>
      <c r="P417" s="144"/>
      <c r="Q417" s="145"/>
      <c r="R417" s="145"/>
      <c r="S417" s="154"/>
      <c r="T417" s="155"/>
      <c r="U417" s="144"/>
      <c r="V417" s="144"/>
    </row>
    <row r="418" spans="1:22" ht="14" x14ac:dyDescent="0.15">
      <c r="A418" s="144"/>
      <c r="B418" s="144"/>
      <c r="C418" s="145"/>
      <c r="D418" s="145"/>
      <c r="E418" s="148"/>
      <c r="F418" s="155"/>
      <c r="G418" s="144"/>
      <c r="H418" s="144"/>
      <c r="I418" s="144"/>
      <c r="J418" s="145"/>
      <c r="K418" s="145"/>
      <c r="L418" s="148"/>
      <c r="M418" s="155"/>
      <c r="N418" s="144"/>
      <c r="O418" s="144"/>
      <c r="P418" s="144"/>
      <c r="Q418" s="145"/>
      <c r="R418" s="145"/>
      <c r="S418" s="154"/>
      <c r="T418" s="155"/>
      <c r="U418" s="144"/>
      <c r="V418" s="144"/>
    </row>
    <row r="419" spans="1:22" ht="14" x14ac:dyDescent="0.15">
      <c r="A419" s="144"/>
      <c r="B419" s="144"/>
      <c r="C419" s="145"/>
      <c r="D419" s="145"/>
      <c r="E419" s="148"/>
      <c r="F419" s="155"/>
      <c r="G419" s="144"/>
      <c r="H419" s="144"/>
      <c r="I419" s="144"/>
      <c r="J419" s="145"/>
      <c r="K419" s="145"/>
      <c r="L419" s="148"/>
      <c r="M419" s="155"/>
      <c r="N419" s="144"/>
      <c r="O419" s="144"/>
      <c r="P419" s="144"/>
      <c r="Q419" s="145"/>
      <c r="R419" s="145"/>
      <c r="S419" s="154"/>
      <c r="T419" s="155"/>
      <c r="U419" s="144"/>
      <c r="V419" s="144"/>
    </row>
    <row r="420" spans="1:22" ht="14" x14ac:dyDescent="0.15">
      <c r="A420" s="144"/>
      <c r="B420" s="144"/>
      <c r="C420" s="145"/>
      <c r="D420" s="145"/>
      <c r="E420" s="148"/>
      <c r="F420" s="155"/>
      <c r="G420" s="144"/>
      <c r="H420" s="144"/>
      <c r="I420" s="144"/>
      <c r="J420" s="145"/>
      <c r="K420" s="145"/>
      <c r="L420" s="148"/>
      <c r="M420" s="155"/>
      <c r="N420" s="144"/>
      <c r="O420" s="144"/>
      <c r="P420" s="144"/>
      <c r="Q420" s="145"/>
      <c r="R420" s="145"/>
      <c r="S420" s="154"/>
      <c r="T420" s="155"/>
      <c r="U420" s="144"/>
      <c r="V420" s="144"/>
    </row>
    <row r="421" spans="1:22" ht="14" x14ac:dyDescent="0.15">
      <c r="A421" s="144"/>
      <c r="B421" s="144"/>
      <c r="C421" s="145"/>
      <c r="D421" s="145"/>
      <c r="E421" s="148"/>
      <c r="F421" s="155"/>
      <c r="G421" s="144"/>
      <c r="H421" s="144"/>
      <c r="I421" s="144"/>
      <c r="J421" s="145"/>
      <c r="K421" s="145"/>
      <c r="L421" s="148"/>
      <c r="M421" s="155"/>
      <c r="N421" s="144"/>
      <c r="O421" s="144"/>
      <c r="P421" s="144"/>
      <c r="Q421" s="145"/>
      <c r="R421" s="145"/>
      <c r="S421" s="154"/>
      <c r="T421" s="155"/>
      <c r="U421" s="144"/>
      <c r="V421" s="144"/>
    </row>
    <row r="422" spans="1:22" ht="14" x14ac:dyDescent="0.15">
      <c r="A422" s="144"/>
      <c r="B422" s="144"/>
      <c r="C422" s="145"/>
      <c r="D422" s="145"/>
      <c r="E422" s="148"/>
      <c r="F422" s="155"/>
      <c r="G422" s="144"/>
      <c r="H422" s="144"/>
      <c r="I422" s="144"/>
      <c r="J422" s="145"/>
      <c r="K422" s="145"/>
      <c r="L422" s="148"/>
      <c r="M422" s="155"/>
      <c r="N422" s="144"/>
      <c r="O422" s="144"/>
      <c r="P422" s="144"/>
      <c r="Q422" s="145"/>
      <c r="R422" s="145"/>
      <c r="S422" s="154"/>
      <c r="T422" s="155"/>
      <c r="U422" s="144"/>
      <c r="V422" s="144"/>
    </row>
    <row r="423" spans="1:22" ht="14" x14ac:dyDescent="0.15">
      <c r="A423" s="144"/>
      <c r="B423" s="144"/>
      <c r="C423" s="145"/>
      <c r="D423" s="145"/>
      <c r="E423" s="148"/>
      <c r="F423" s="155"/>
      <c r="G423" s="144"/>
      <c r="H423" s="144"/>
      <c r="I423" s="144"/>
      <c r="J423" s="145"/>
      <c r="K423" s="145"/>
      <c r="L423" s="148"/>
      <c r="M423" s="155"/>
      <c r="N423" s="144"/>
      <c r="O423" s="144"/>
      <c r="P423" s="144"/>
      <c r="Q423" s="145"/>
      <c r="R423" s="145"/>
      <c r="S423" s="154"/>
      <c r="T423" s="155"/>
      <c r="U423" s="144"/>
      <c r="V423" s="144"/>
    </row>
    <row r="424" spans="1:22" ht="14" x14ac:dyDescent="0.15">
      <c r="A424" s="144"/>
      <c r="B424" s="144"/>
      <c r="C424" s="145"/>
      <c r="D424" s="145"/>
      <c r="E424" s="148"/>
      <c r="F424" s="155"/>
      <c r="G424" s="144"/>
      <c r="H424" s="144"/>
      <c r="I424" s="144"/>
      <c r="J424" s="145"/>
      <c r="K424" s="145"/>
      <c r="L424" s="148"/>
      <c r="M424" s="155"/>
      <c r="N424" s="144"/>
      <c r="O424" s="144"/>
      <c r="P424" s="144"/>
      <c r="Q424" s="145"/>
      <c r="R424" s="145"/>
      <c r="S424" s="154"/>
      <c r="T424" s="155"/>
      <c r="U424" s="144"/>
      <c r="V424" s="144"/>
    </row>
    <row r="425" spans="1:22" ht="14" x14ac:dyDescent="0.15">
      <c r="A425" s="144"/>
      <c r="B425" s="144"/>
      <c r="C425" s="145"/>
      <c r="D425" s="145"/>
      <c r="E425" s="148"/>
      <c r="F425" s="155"/>
      <c r="G425" s="144"/>
      <c r="H425" s="144"/>
      <c r="I425" s="144"/>
      <c r="J425" s="145"/>
      <c r="K425" s="145"/>
      <c r="L425" s="148"/>
      <c r="M425" s="155"/>
      <c r="N425" s="144"/>
      <c r="O425" s="144"/>
      <c r="P425" s="144"/>
      <c r="Q425" s="145"/>
      <c r="R425" s="145"/>
      <c r="S425" s="154"/>
      <c r="T425" s="155"/>
      <c r="U425" s="144"/>
      <c r="V425" s="144"/>
    </row>
    <row r="426" spans="1:22" ht="14" x14ac:dyDescent="0.15">
      <c r="A426" s="144"/>
      <c r="B426" s="144"/>
      <c r="C426" s="145"/>
      <c r="D426" s="145"/>
      <c r="E426" s="148"/>
      <c r="F426" s="155"/>
      <c r="G426" s="144"/>
      <c r="H426" s="144"/>
      <c r="I426" s="144"/>
      <c r="J426" s="145"/>
      <c r="K426" s="145"/>
      <c r="L426" s="148"/>
      <c r="M426" s="155"/>
      <c r="N426" s="144"/>
      <c r="O426" s="144"/>
      <c r="P426" s="144"/>
      <c r="Q426" s="145"/>
      <c r="R426" s="145"/>
      <c r="S426" s="154"/>
      <c r="T426" s="155"/>
      <c r="U426" s="144"/>
      <c r="V426" s="144"/>
    </row>
    <row r="427" spans="1:22" ht="14" x14ac:dyDescent="0.15">
      <c r="A427" s="144"/>
      <c r="B427" s="144"/>
      <c r="C427" s="145"/>
      <c r="D427" s="145"/>
      <c r="E427" s="148"/>
      <c r="F427" s="155"/>
      <c r="G427" s="144"/>
      <c r="H427" s="144"/>
      <c r="I427" s="144"/>
      <c r="J427" s="145"/>
      <c r="K427" s="145"/>
      <c r="L427" s="148"/>
      <c r="M427" s="155"/>
      <c r="N427" s="144"/>
      <c r="O427" s="144"/>
      <c r="P427" s="144"/>
      <c r="Q427" s="145"/>
      <c r="R427" s="145"/>
      <c r="S427" s="154"/>
      <c r="T427" s="155"/>
      <c r="U427" s="144"/>
      <c r="V427" s="144"/>
    </row>
    <row r="428" spans="1:22" ht="14" x14ac:dyDescent="0.15">
      <c r="A428" s="144"/>
      <c r="B428" s="144"/>
      <c r="C428" s="145"/>
      <c r="D428" s="145"/>
      <c r="E428" s="148"/>
      <c r="F428" s="155"/>
      <c r="G428" s="144"/>
      <c r="H428" s="144"/>
      <c r="I428" s="144"/>
      <c r="J428" s="145"/>
      <c r="K428" s="145"/>
      <c r="L428" s="148"/>
      <c r="M428" s="155"/>
      <c r="N428" s="144"/>
      <c r="O428" s="144"/>
      <c r="P428" s="144"/>
      <c r="Q428" s="145"/>
      <c r="R428" s="145"/>
      <c r="S428" s="154"/>
      <c r="T428" s="155"/>
      <c r="U428" s="144"/>
      <c r="V428" s="144"/>
    </row>
    <row r="429" spans="1:22" ht="14" x14ac:dyDescent="0.15">
      <c r="A429" s="144"/>
      <c r="B429" s="144"/>
      <c r="C429" s="145"/>
      <c r="D429" s="145"/>
      <c r="E429" s="148"/>
      <c r="F429" s="155"/>
      <c r="G429" s="144"/>
      <c r="H429" s="144"/>
      <c r="I429" s="144"/>
      <c r="J429" s="145"/>
      <c r="K429" s="145"/>
      <c r="L429" s="148"/>
      <c r="M429" s="155"/>
      <c r="N429" s="144"/>
      <c r="O429" s="144"/>
      <c r="P429" s="144"/>
      <c r="Q429" s="145"/>
      <c r="R429" s="145"/>
      <c r="S429" s="154"/>
      <c r="T429" s="155"/>
      <c r="U429" s="144"/>
      <c r="V429" s="144"/>
    </row>
    <row r="430" spans="1:22" ht="14" x14ac:dyDescent="0.15">
      <c r="A430" s="144"/>
      <c r="B430" s="144"/>
      <c r="C430" s="145"/>
      <c r="D430" s="145"/>
      <c r="E430" s="148"/>
      <c r="F430" s="155"/>
      <c r="G430" s="144"/>
      <c r="H430" s="144"/>
      <c r="I430" s="144"/>
      <c r="J430" s="145"/>
      <c r="K430" s="145"/>
      <c r="L430" s="148"/>
      <c r="M430" s="155"/>
      <c r="N430" s="144"/>
      <c r="O430" s="144"/>
      <c r="P430" s="144"/>
      <c r="Q430" s="145"/>
      <c r="R430" s="145"/>
      <c r="S430" s="154"/>
      <c r="T430" s="155"/>
      <c r="U430" s="144"/>
      <c r="V430" s="144"/>
    </row>
    <row r="431" spans="1:22" ht="14" x14ac:dyDescent="0.15">
      <c r="A431" s="144"/>
      <c r="B431" s="144"/>
      <c r="C431" s="145"/>
      <c r="D431" s="145"/>
      <c r="E431" s="148"/>
      <c r="F431" s="155"/>
      <c r="G431" s="144"/>
      <c r="H431" s="144"/>
      <c r="I431" s="144"/>
      <c r="J431" s="145"/>
      <c r="K431" s="145"/>
      <c r="L431" s="148"/>
      <c r="M431" s="155"/>
      <c r="N431" s="144"/>
      <c r="O431" s="144"/>
      <c r="P431" s="144"/>
      <c r="Q431" s="145"/>
      <c r="R431" s="145"/>
      <c r="S431" s="154"/>
      <c r="T431" s="155"/>
      <c r="U431" s="144"/>
      <c r="V431" s="144"/>
    </row>
    <row r="432" spans="1:22" ht="14" x14ac:dyDescent="0.15">
      <c r="A432" s="144"/>
      <c r="B432" s="144"/>
      <c r="C432" s="145"/>
      <c r="D432" s="145"/>
      <c r="E432" s="148"/>
      <c r="F432" s="155"/>
      <c r="G432" s="144"/>
      <c r="H432" s="144"/>
      <c r="I432" s="144"/>
      <c r="J432" s="145"/>
      <c r="K432" s="145"/>
      <c r="L432" s="148"/>
      <c r="M432" s="155"/>
      <c r="N432" s="144"/>
      <c r="O432" s="144"/>
      <c r="P432" s="144"/>
      <c r="Q432" s="145"/>
      <c r="R432" s="145"/>
      <c r="S432" s="154"/>
      <c r="T432" s="155"/>
      <c r="U432" s="144"/>
      <c r="V432" s="144"/>
    </row>
    <row r="433" spans="1:22" ht="14" x14ac:dyDescent="0.15">
      <c r="A433" s="144"/>
      <c r="B433" s="144"/>
      <c r="C433" s="145"/>
      <c r="D433" s="145"/>
      <c r="E433" s="148"/>
      <c r="F433" s="155"/>
      <c r="G433" s="144"/>
      <c r="H433" s="144"/>
      <c r="I433" s="144"/>
      <c r="J433" s="145"/>
      <c r="K433" s="145"/>
      <c r="L433" s="148"/>
      <c r="M433" s="155"/>
      <c r="N433" s="144"/>
      <c r="O433" s="144"/>
      <c r="P433" s="144"/>
      <c r="Q433" s="145"/>
      <c r="R433" s="145"/>
      <c r="S433" s="154"/>
      <c r="T433" s="155"/>
      <c r="U433" s="144"/>
      <c r="V433" s="144"/>
    </row>
    <row r="434" spans="1:22" ht="14" x14ac:dyDescent="0.15">
      <c r="A434" s="144"/>
      <c r="B434" s="144"/>
      <c r="C434" s="145"/>
      <c r="D434" s="145"/>
      <c r="E434" s="148"/>
      <c r="F434" s="155"/>
      <c r="G434" s="144"/>
      <c r="H434" s="144"/>
      <c r="I434" s="144"/>
      <c r="J434" s="145"/>
      <c r="K434" s="145"/>
      <c r="L434" s="148"/>
      <c r="M434" s="155"/>
      <c r="N434" s="144"/>
      <c r="O434" s="144"/>
      <c r="P434" s="144"/>
      <c r="Q434" s="145"/>
      <c r="R434" s="145"/>
      <c r="S434" s="154"/>
      <c r="T434" s="155"/>
      <c r="U434" s="144"/>
      <c r="V434" s="144"/>
    </row>
    <row r="435" spans="1:22" ht="14" x14ac:dyDescent="0.15">
      <c r="A435" s="144"/>
      <c r="B435" s="144"/>
      <c r="C435" s="145"/>
      <c r="D435" s="145"/>
      <c r="E435" s="148"/>
      <c r="F435" s="155"/>
      <c r="G435" s="144"/>
      <c r="H435" s="144"/>
      <c r="I435" s="144"/>
      <c r="J435" s="145"/>
      <c r="K435" s="145"/>
      <c r="L435" s="148"/>
      <c r="M435" s="155"/>
      <c r="N435" s="144"/>
      <c r="O435" s="144"/>
      <c r="P435" s="144"/>
      <c r="Q435" s="145"/>
      <c r="R435" s="145"/>
      <c r="S435" s="154"/>
      <c r="T435" s="155"/>
      <c r="U435" s="144"/>
      <c r="V435" s="144"/>
    </row>
    <row r="436" spans="1:22" ht="14" x14ac:dyDescent="0.15">
      <c r="A436" s="144"/>
      <c r="B436" s="144"/>
      <c r="C436" s="145"/>
      <c r="D436" s="145"/>
      <c r="E436" s="148"/>
      <c r="F436" s="155"/>
      <c r="G436" s="144"/>
      <c r="H436" s="144"/>
      <c r="I436" s="144"/>
      <c r="J436" s="145"/>
      <c r="K436" s="145"/>
      <c r="L436" s="148"/>
      <c r="M436" s="155"/>
      <c r="N436" s="144"/>
      <c r="O436" s="144"/>
      <c r="P436" s="144"/>
      <c r="Q436" s="145"/>
      <c r="R436" s="145"/>
      <c r="S436" s="154"/>
      <c r="T436" s="155"/>
      <c r="U436" s="144"/>
      <c r="V436" s="144"/>
    </row>
    <row r="437" spans="1:22" ht="14" x14ac:dyDescent="0.15">
      <c r="A437" s="144"/>
      <c r="B437" s="144"/>
      <c r="C437" s="145"/>
      <c r="D437" s="145"/>
      <c r="E437" s="148"/>
      <c r="F437" s="155"/>
      <c r="G437" s="144"/>
      <c r="H437" s="144"/>
      <c r="I437" s="144"/>
      <c r="J437" s="145"/>
      <c r="K437" s="145"/>
      <c r="L437" s="148"/>
      <c r="M437" s="155"/>
      <c r="N437" s="144"/>
      <c r="O437" s="144"/>
      <c r="P437" s="144"/>
      <c r="Q437" s="145"/>
      <c r="R437" s="145"/>
      <c r="S437" s="154"/>
      <c r="T437" s="155"/>
      <c r="U437" s="144"/>
      <c r="V437" s="144"/>
    </row>
    <row r="438" spans="1:22" ht="14" x14ac:dyDescent="0.15">
      <c r="A438" s="144"/>
      <c r="B438" s="144"/>
      <c r="C438" s="145"/>
      <c r="D438" s="145"/>
      <c r="E438" s="148"/>
      <c r="F438" s="155"/>
      <c r="G438" s="144"/>
      <c r="H438" s="144"/>
      <c r="I438" s="144"/>
      <c r="J438" s="145"/>
      <c r="K438" s="145"/>
      <c r="L438" s="148"/>
      <c r="M438" s="155"/>
      <c r="N438" s="144"/>
      <c r="O438" s="144"/>
      <c r="P438" s="144"/>
      <c r="Q438" s="145"/>
      <c r="R438" s="145"/>
      <c r="S438" s="154"/>
      <c r="T438" s="155"/>
      <c r="U438" s="144"/>
      <c r="V438" s="144"/>
    </row>
    <row r="439" spans="1:22" ht="14" x14ac:dyDescent="0.15">
      <c r="A439" s="144"/>
      <c r="B439" s="144"/>
      <c r="C439" s="145"/>
      <c r="D439" s="145"/>
      <c r="E439" s="148"/>
      <c r="F439" s="155"/>
      <c r="G439" s="144"/>
      <c r="H439" s="144"/>
      <c r="I439" s="144"/>
      <c r="J439" s="145"/>
      <c r="K439" s="145"/>
      <c r="L439" s="148"/>
      <c r="M439" s="155"/>
      <c r="N439" s="144"/>
      <c r="O439" s="144"/>
      <c r="P439" s="144"/>
      <c r="Q439" s="145"/>
      <c r="R439" s="145"/>
      <c r="S439" s="154"/>
      <c r="T439" s="155"/>
      <c r="U439" s="144"/>
      <c r="V439" s="144"/>
    </row>
    <row r="440" spans="1:22" ht="14" x14ac:dyDescent="0.15">
      <c r="A440" s="144"/>
      <c r="B440" s="144"/>
      <c r="C440" s="145"/>
      <c r="D440" s="145"/>
      <c r="E440" s="148"/>
      <c r="F440" s="155"/>
      <c r="G440" s="144"/>
      <c r="H440" s="144"/>
      <c r="I440" s="144"/>
      <c r="J440" s="145"/>
      <c r="K440" s="145"/>
      <c r="L440" s="148"/>
      <c r="M440" s="155"/>
      <c r="N440" s="144"/>
      <c r="O440" s="144"/>
      <c r="P440" s="144"/>
      <c r="Q440" s="145"/>
      <c r="R440" s="145"/>
      <c r="S440" s="154"/>
      <c r="T440" s="155"/>
      <c r="U440" s="144"/>
      <c r="V440" s="144"/>
    </row>
    <row r="441" spans="1:22" ht="14" x14ac:dyDescent="0.15">
      <c r="A441" s="144"/>
      <c r="B441" s="144"/>
      <c r="C441" s="145"/>
      <c r="D441" s="145"/>
      <c r="E441" s="148"/>
      <c r="F441" s="155"/>
      <c r="G441" s="144"/>
      <c r="H441" s="144"/>
      <c r="I441" s="144"/>
      <c r="J441" s="145"/>
      <c r="K441" s="145"/>
      <c r="L441" s="148"/>
      <c r="M441" s="155"/>
      <c r="N441" s="144"/>
      <c r="O441" s="144"/>
      <c r="P441" s="144"/>
      <c r="Q441" s="145"/>
      <c r="R441" s="145"/>
      <c r="S441" s="154"/>
      <c r="T441" s="155"/>
      <c r="U441" s="144"/>
      <c r="V441" s="144"/>
    </row>
    <row r="442" spans="1:22" ht="14" x14ac:dyDescent="0.15">
      <c r="A442" s="144"/>
      <c r="B442" s="144"/>
      <c r="C442" s="145"/>
      <c r="D442" s="145"/>
      <c r="E442" s="148"/>
      <c r="F442" s="155"/>
      <c r="G442" s="144"/>
      <c r="H442" s="144"/>
      <c r="I442" s="144"/>
      <c r="J442" s="145"/>
      <c r="K442" s="145"/>
      <c r="L442" s="148"/>
      <c r="M442" s="155"/>
      <c r="N442" s="144"/>
      <c r="O442" s="144"/>
      <c r="P442" s="144"/>
      <c r="Q442" s="145"/>
      <c r="R442" s="145"/>
      <c r="S442" s="154"/>
      <c r="T442" s="155"/>
      <c r="U442" s="144"/>
      <c r="V442" s="144"/>
    </row>
    <row r="443" spans="1:22" ht="14" x14ac:dyDescent="0.15">
      <c r="A443" s="144"/>
      <c r="B443" s="144"/>
      <c r="C443" s="145"/>
      <c r="D443" s="145"/>
      <c r="E443" s="148"/>
      <c r="F443" s="155"/>
      <c r="G443" s="144"/>
      <c r="H443" s="144"/>
      <c r="I443" s="144"/>
      <c r="J443" s="145"/>
      <c r="K443" s="145"/>
      <c r="L443" s="148"/>
      <c r="M443" s="155"/>
      <c r="N443" s="144"/>
      <c r="O443" s="144"/>
      <c r="P443" s="144"/>
      <c r="Q443" s="145"/>
      <c r="R443" s="145"/>
      <c r="S443" s="154"/>
      <c r="T443" s="155"/>
      <c r="U443" s="144"/>
      <c r="V443" s="144"/>
    </row>
    <row r="444" spans="1:22" ht="14" x14ac:dyDescent="0.15">
      <c r="A444" s="144"/>
      <c r="B444" s="144"/>
      <c r="C444" s="145"/>
      <c r="D444" s="145"/>
      <c r="E444" s="148"/>
      <c r="F444" s="155"/>
      <c r="G444" s="144"/>
      <c r="H444" s="144"/>
      <c r="I444" s="144"/>
      <c r="J444" s="145"/>
      <c r="K444" s="145"/>
      <c r="L444" s="148"/>
      <c r="M444" s="155"/>
      <c r="N444" s="144"/>
      <c r="O444" s="144"/>
      <c r="P444" s="144"/>
      <c r="Q444" s="145"/>
      <c r="R444" s="145"/>
      <c r="S444" s="154"/>
      <c r="T444" s="155"/>
      <c r="U444" s="144"/>
      <c r="V444" s="144"/>
    </row>
    <row r="445" spans="1:22" ht="14" x14ac:dyDescent="0.15">
      <c r="A445" s="144"/>
      <c r="B445" s="144"/>
      <c r="C445" s="145"/>
      <c r="D445" s="145"/>
      <c r="E445" s="148"/>
      <c r="F445" s="155"/>
      <c r="G445" s="144"/>
      <c r="H445" s="144"/>
      <c r="I445" s="144"/>
      <c r="J445" s="145"/>
      <c r="K445" s="145"/>
      <c r="L445" s="148"/>
      <c r="M445" s="155"/>
      <c r="N445" s="144"/>
      <c r="O445" s="144"/>
      <c r="P445" s="144"/>
      <c r="Q445" s="145"/>
      <c r="R445" s="145"/>
      <c r="S445" s="154"/>
      <c r="T445" s="155"/>
      <c r="U445" s="144"/>
      <c r="V445" s="144"/>
    </row>
    <row r="446" spans="1:22" ht="14" x14ac:dyDescent="0.15">
      <c r="A446" s="144"/>
      <c r="B446" s="144"/>
      <c r="C446" s="145"/>
      <c r="D446" s="145"/>
      <c r="E446" s="148"/>
      <c r="F446" s="155"/>
      <c r="G446" s="144"/>
      <c r="H446" s="144"/>
      <c r="I446" s="144"/>
      <c r="J446" s="145"/>
      <c r="K446" s="145"/>
      <c r="L446" s="148"/>
      <c r="M446" s="155"/>
      <c r="N446" s="144"/>
      <c r="O446" s="144"/>
      <c r="P446" s="144"/>
      <c r="Q446" s="145"/>
      <c r="R446" s="145"/>
      <c r="S446" s="154"/>
      <c r="T446" s="155"/>
      <c r="U446" s="144"/>
      <c r="V446" s="144"/>
    </row>
    <row r="447" spans="1:22" ht="14" x14ac:dyDescent="0.15">
      <c r="A447" s="144"/>
      <c r="B447" s="144"/>
      <c r="C447" s="145"/>
      <c r="D447" s="145"/>
      <c r="E447" s="148"/>
      <c r="F447" s="155"/>
      <c r="G447" s="144"/>
      <c r="H447" s="144"/>
      <c r="I447" s="144"/>
      <c r="J447" s="145"/>
      <c r="K447" s="145"/>
      <c r="L447" s="148"/>
      <c r="M447" s="155"/>
      <c r="N447" s="144"/>
      <c r="O447" s="144"/>
      <c r="P447" s="144"/>
      <c r="Q447" s="145"/>
      <c r="R447" s="145"/>
      <c r="S447" s="154"/>
      <c r="T447" s="155"/>
      <c r="U447" s="144"/>
      <c r="V447" s="144"/>
    </row>
    <row r="448" spans="1:22" ht="14" x14ac:dyDescent="0.15">
      <c r="A448" s="144"/>
      <c r="B448" s="144"/>
      <c r="C448" s="145"/>
      <c r="D448" s="145"/>
      <c r="E448" s="148"/>
      <c r="F448" s="155"/>
      <c r="G448" s="144"/>
      <c r="H448" s="144"/>
      <c r="I448" s="144"/>
      <c r="J448" s="145"/>
      <c r="K448" s="145"/>
      <c r="L448" s="148"/>
      <c r="M448" s="155"/>
      <c r="N448" s="144"/>
      <c r="O448" s="144"/>
      <c r="P448" s="144"/>
      <c r="Q448" s="145"/>
      <c r="R448" s="145"/>
      <c r="S448" s="154"/>
      <c r="T448" s="155"/>
      <c r="U448" s="144"/>
      <c r="V448" s="144"/>
    </row>
    <row r="449" spans="1:22" ht="14" x14ac:dyDescent="0.15">
      <c r="A449" s="144"/>
      <c r="B449" s="144"/>
      <c r="C449" s="145"/>
      <c r="D449" s="145"/>
      <c r="E449" s="148"/>
      <c r="F449" s="155"/>
      <c r="G449" s="144"/>
      <c r="H449" s="144"/>
      <c r="I449" s="144"/>
      <c r="J449" s="145"/>
      <c r="K449" s="145"/>
      <c r="L449" s="148"/>
      <c r="M449" s="155"/>
      <c r="N449" s="144"/>
      <c r="O449" s="144"/>
      <c r="P449" s="144"/>
      <c r="Q449" s="145"/>
      <c r="R449" s="145"/>
      <c r="S449" s="154"/>
      <c r="T449" s="155"/>
      <c r="U449" s="144"/>
      <c r="V449" s="144"/>
    </row>
    <row r="450" spans="1:22" ht="14" x14ac:dyDescent="0.15">
      <c r="A450" s="144"/>
      <c r="B450" s="144"/>
      <c r="C450" s="145"/>
      <c r="D450" s="145"/>
      <c r="E450" s="148"/>
      <c r="F450" s="155"/>
      <c r="G450" s="144"/>
      <c r="H450" s="144"/>
      <c r="I450" s="144"/>
      <c r="J450" s="145"/>
      <c r="K450" s="145"/>
      <c r="L450" s="148"/>
      <c r="M450" s="155"/>
      <c r="N450" s="144"/>
      <c r="O450" s="144"/>
      <c r="P450" s="144"/>
      <c r="Q450" s="145"/>
      <c r="R450" s="145"/>
      <c r="S450" s="154"/>
      <c r="T450" s="155"/>
      <c r="U450" s="144"/>
      <c r="V450" s="144"/>
    </row>
    <row r="451" spans="1:22" ht="14" x14ac:dyDescent="0.15">
      <c r="A451" s="144"/>
      <c r="B451" s="144"/>
      <c r="C451" s="145"/>
      <c r="D451" s="145"/>
      <c r="E451" s="148"/>
      <c r="F451" s="155"/>
      <c r="G451" s="144"/>
      <c r="H451" s="144"/>
      <c r="I451" s="144"/>
      <c r="J451" s="145"/>
      <c r="K451" s="145"/>
      <c r="L451" s="148"/>
      <c r="M451" s="155"/>
      <c r="N451" s="144"/>
      <c r="O451" s="144"/>
      <c r="P451" s="144"/>
      <c r="Q451" s="145"/>
      <c r="R451" s="145"/>
      <c r="S451" s="154"/>
      <c r="T451" s="155"/>
      <c r="U451" s="144"/>
      <c r="V451" s="144"/>
    </row>
    <row r="452" spans="1:22" ht="14" x14ac:dyDescent="0.15">
      <c r="A452" s="144"/>
      <c r="B452" s="144"/>
      <c r="C452" s="145"/>
      <c r="D452" s="145"/>
      <c r="E452" s="148"/>
      <c r="F452" s="155"/>
      <c r="G452" s="144"/>
      <c r="H452" s="144"/>
      <c r="I452" s="144"/>
      <c r="J452" s="145"/>
      <c r="K452" s="145"/>
      <c r="L452" s="148"/>
      <c r="M452" s="155"/>
      <c r="N452" s="144"/>
      <c r="O452" s="144"/>
      <c r="P452" s="144"/>
      <c r="Q452" s="145"/>
      <c r="R452" s="145"/>
      <c r="S452" s="154"/>
      <c r="T452" s="155"/>
      <c r="U452" s="144"/>
      <c r="V452" s="144"/>
    </row>
    <row r="453" spans="1:22" ht="14" x14ac:dyDescent="0.15">
      <c r="A453" s="144"/>
      <c r="B453" s="144"/>
      <c r="C453" s="145"/>
      <c r="D453" s="145"/>
      <c r="E453" s="148"/>
      <c r="F453" s="155"/>
      <c r="G453" s="144"/>
      <c r="H453" s="144"/>
      <c r="I453" s="144"/>
      <c r="J453" s="145"/>
      <c r="K453" s="145"/>
      <c r="L453" s="148"/>
      <c r="M453" s="155"/>
      <c r="N453" s="144"/>
      <c r="O453" s="144"/>
      <c r="P453" s="144"/>
      <c r="Q453" s="145"/>
      <c r="R453" s="145"/>
      <c r="S453" s="154"/>
      <c r="T453" s="155"/>
      <c r="U453" s="144"/>
      <c r="V453" s="144"/>
    </row>
    <row r="454" spans="1:22" ht="14" x14ac:dyDescent="0.15">
      <c r="A454" s="144"/>
      <c r="B454" s="144"/>
      <c r="C454" s="145"/>
      <c r="D454" s="145"/>
      <c r="E454" s="148"/>
      <c r="F454" s="155"/>
      <c r="G454" s="144"/>
      <c r="H454" s="144"/>
      <c r="I454" s="144"/>
      <c r="J454" s="145"/>
      <c r="K454" s="145"/>
      <c r="L454" s="148"/>
      <c r="M454" s="155"/>
      <c r="N454" s="144"/>
      <c r="O454" s="144"/>
      <c r="P454" s="144"/>
      <c r="Q454" s="145"/>
      <c r="R454" s="145"/>
      <c r="S454" s="154"/>
      <c r="T454" s="155"/>
      <c r="U454" s="144"/>
      <c r="V454" s="144"/>
    </row>
    <row r="455" spans="1:22" ht="14" x14ac:dyDescent="0.15">
      <c r="A455" s="144"/>
      <c r="B455" s="144"/>
      <c r="C455" s="145"/>
      <c r="D455" s="145"/>
      <c r="E455" s="148"/>
      <c r="F455" s="155"/>
      <c r="G455" s="144"/>
      <c r="H455" s="144"/>
      <c r="I455" s="144"/>
      <c r="J455" s="145"/>
      <c r="K455" s="145"/>
      <c r="L455" s="148"/>
      <c r="M455" s="155"/>
      <c r="N455" s="144"/>
      <c r="O455" s="144"/>
      <c r="P455" s="144"/>
      <c r="Q455" s="145"/>
      <c r="R455" s="145"/>
      <c r="S455" s="154"/>
      <c r="T455" s="155"/>
      <c r="U455" s="144"/>
      <c r="V455" s="144"/>
    </row>
    <row r="456" spans="1:22" ht="14" x14ac:dyDescent="0.15">
      <c r="A456" s="144"/>
      <c r="B456" s="144"/>
      <c r="C456" s="145"/>
      <c r="D456" s="145"/>
      <c r="E456" s="148"/>
      <c r="F456" s="155"/>
      <c r="G456" s="144"/>
      <c r="H456" s="144"/>
      <c r="I456" s="144"/>
      <c r="J456" s="145"/>
      <c r="K456" s="145"/>
      <c r="L456" s="148"/>
      <c r="M456" s="155"/>
      <c r="N456" s="144"/>
      <c r="O456" s="144"/>
      <c r="P456" s="144"/>
      <c r="Q456" s="145"/>
      <c r="R456" s="145"/>
      <c r="S456" s="154"/>
      <c r="T456" s="155"/>
      <c r="U456" s="144"/>
      <c r="V456" s="144"/>
    </row>
    <row r="457" spans="1:22" ht="14" x14ac:dyDescent="0.15">
      <c r="A457" s="144"/>
      <c r="B457" s="144"/>
      <c r="C457" s="145"/>
      <c r="D457" s="145"/>
      <c r="E457" s="148"/>
      <c r="F457" s="155"/>
      <c r="G457" s="144"/>
      <c r="H457" s="144"/>
      <c r="I457" s="144"/>
      <c r="J457" s="145"/>
      <c r="K457" s="145"/>
      <c r="L457" s="148"/>
      <c r="M457" s="155"/>
      <c r="N457" s="144"/>
      <c r="O457" s="144"/>
      <c r="P457" s="144"/>
      <c r="Q457" s="145"/>
      <c r="R457" s="145"/>
      <c r="S457" s="154"/>
      <c r="T457" s="155"/>
      <c r="U457" s="144"/>
      <c r="V457" s="144"/>
    </row>
    <row r="458" spans="1:22" ht="14" x14ac:dyDescent="0.15">
      <c r="A458" s="144"/>
      <c r="B458" s="144"/>
      <c r="C458" s="145"/>
      <c r="D458" s="145"/>
      <c r="E458" s="148"/>
      <c r="F458" s="155"/>
      <c r="G458" s="144"/>
      <c r="H458" s="144"/>
      <c r="I458" s="144"/>
      <c r="J458" s="145"/>
      <c r="K458" s="145"/>
      <c r="L458" s="148"/>
      <c r="M458" s="155"/>
      <c r="N458" s="144"/>
      <c r="O458" s="144"/>
      <c r="P458" s="144"/>
      <c r="Q458" s="145"/>
      <c r="R458" s="145"/>
      <c r="S458" s="154"/>
      <c r="T458" s="155"/>
      <c r="U458" s="144"/>
      <c r="V458" s="144"/>
    </row>
    <row r="459" spans="1:22" ht="14" x14ac:dyDescent="0.15">
      <c r="A459" s="144"/>
      <c r="B459" s="144"/>
      <c r="C459" s="145"/>
      <c r="D459" s="145"/>
      <c r="E459" s="148"/>
      <c r="F459" s="155"/>
      <c r="G459" s="144"/>
      <c r="H459" s="144"/>
      <c r="I459" s="144"/>
      <c r="J459" s="145"/>
      <c r="K459" s="145"/>
      <c r="L459" s="148"/>
      <c r="M459" s="155"/>
      <c r="N459" s="144"/>
      <c r="O459" s="144"/>
      <c r="P459" s="144"/>
      <c r="Q459" s="145"/>
      <c r="R459" s="145"/>
      <c r="S459" s="154"/>
      <c r="T459" s="155"/>
      <c r="U459" s="144"/>
      <c r="V459" s="144"/>
    </row>
    <row r="460" spans="1:22" ht="14" x14ac:dyDescent="0.15">
      <c r="A460" s="144"/>
      <c r="B460" s="144"/>
      <c r="C460" s="145"/>
      <c r="D460" s="145"/>
      <c r="E460" s="148"/>
      <c r="F460" s="155"/>
      <c r="G460" s="144"/>
      <c r="H460" s="144"/>
      <c r="I460" s="144"/>
      <c r="J460" s="145"/>
      <c r="K460" s="145"/>
      <c r="L460" s="148"/>
      <c r="M460" s="155"/>
      <c r="N460" s="144"/>
      <c r="O460" s="144"/>
      <c r="P460" s="144"/>
      <c r="Q460" s="145"/>
      <c r="R460" s="145"/>
      <c r="S460" s="154"/>
      <c r="T460" s="155"/>
      <c r="U460" s="144"/>
      <c r="V460" s="144"/>
    </row>
    <row r="461" spans="1:22" ht="14" x14ac:dyDescent="0.15">
      <c r="A461" s="144"/>
      <c r="B461" s="144"/>
      <c r="C461" s="145"/>
      <c r="D461" s="145"/>
      <c r="E461" s="148"/>
      <c r="F461" s="155"/>
      <c r="G461" s="144"/>
      <c r="H461" s="144"/>
      <c r="I461" s="144"/>
      <c r="J461" s="145"/>
      <c r="K461" s="145"/>
      <c r="L461" s="148"/>
      <c r="M461" s="155"/>
      <c r="N461" s="144"/>
      <c r="O461" s="144"/>
      <c r="P461" s="144"/>
      <c r="Q461" s="145"/>
      <c r="R461" s="145"/>
      <c r="S461" s="154"/>
      <c r="T461" s="155"/>
      <c r="U461" s="144"/>
      <c r="V461" s="144"/>
    </row>
    <row r="462" spans="1:22" ht="14" x14ac:dyDescent="0.15">
      <c r="A462" s="144"/>
      <c r="B462" s="144"/>
      <c r="C462" s="145"/>
      <c r="D462" s="145"/>
      <c r="E462" s="148"/>
      <c r="F462" s="155"/>
      <c r="G462" s="144"/>
      <c r="H462" s="144"/>
      <c r="I462" s="144"/>
      <c r="J462" s="145"/>
      <c r="K462" s="145"/>
      <c r="L462" s="148"/>
      <c r="M462" s="155"/>
      <c r="N462" s="144"/>
      <c r="O462" s="144"/>
      <c r="P462" s="144"/>
      <c r="Q462" s="145"/>
      <c r="R462" s="145"/>
      <c r="S462" s="154"/>
      <c r="T462" s="155"/>
      <c r="U462" s="144"/>
      <c r="V462" s="144"/>
    </row>
    <row r="463" spans="1:22" ht="14" x14ac:dyDescent="0.15">
      <c r="A463" s="144"/>
      <c r="B463" s="144"/>
      <c r="C463" s="145"/>
      <c r="D463" s="145"/>
      <c r="E463" s="148"/>
      <c r="F463" s="155"/>
      <c r="G463" s="144"/>
      <c r="H463" s="144"/>
      <c r="I463" s="144"/>
      <c r="J463" s="145"/>
      <c r="K463" s="145"/>
      <c r="L463" s="148"/>
      <c r="M463" s="155"/>
      <c r="N463" s="144"/>
      <c r="O463" s="144"/>
      <c r="P463" s="144"/>
      <c r="Q463" s="145"/>
      <c r="R463" s="145"/>
      <c r="S463" s="154"/>
      <c r="T463" s="155"/>
      <c r="U463" s="144"/>
      <c r="V463" s="144"/>
    </row>
    <row r="464" spans="1:22" ht="14" x14ac:dyDescent="0.15">
      <c r="A464" s="144"/>
      <c r="B464" s="144"/>
      <c r="C464" s="145"/>
      <c r="D464" s="145"/>
      <c r="E464" s="148"/>
      <c r="F464" s="155"/>
      <c r="G464" s="144"/>
      <c r="H464" s="144"/>
      <c r="I464" s="144"/>
      <c r="J464" s="145"/>
      <c r="K464" s="145"/>
      <c r="L464" s="148"/>
      <c r="M464" s="155"/>
      <c r="N464" s="144"/>
      <c r="O464" s="144"/>
      <c r="P464" s="144"/>
      <c r="Q464" s="145"/>
      <c r="R464" s="145"/>
      <c r="S464" s="154"/>
      <c r="T464" s="155"/>
      <c r="U464" s="144"/>
      <c r="V464" s="144"/>
    </row>
    <row r="465" spans="1:22" ht="14" x14ac:dyDescent="0.15">
      <c r="A465" s="144"/>
      <c r="B465" s="144"/>
      <c r="C465" s="145"/>
      <c r="D465" s="145"/>
      <c r="E465" s="148"/>
      <c r="F465" s="155"/>
      <c r="G465" s="144"/>
      <c r="H465" s="144"/>
      <c r="I465" s="144"/>
      <c r="J465" s="145"/>
      <c r="K465" s="145"/>
      <c r="L465" s="148"/>
      <c r="M465" s="155"/>
      <c r="N465" s="144"/>
      <c r="O465" s="144"/>
      <c r="P465" s="144"/>
      <c r="Q465" s="145"/>
      <c r="R465" s="145"/>
      <c r="S465" s="154"/>
      <c r="T465" s="155"/>
      <c r="U465" s="144"/>
      <c r="V465" s="144"/>
    </row>
    <row r="466" spans="1:22" ht="14" x14ac:dyDescent="0.15">
      <c r="A466" s="144"/>
      <c r="B466" s="144"/>
      <c r="C466" s="145"/>
      <c r="D466" s="145"/>
      <c r="E466" s="148"/>
      <c r="F466" s="155"/>
      <c r="G466" s="144"/>
      <c r="H466" s="144"/>
      <c r="I466" s="144"/>
      <c r="J466" s="145"/>
      <c r="K466" s="145"/>
      <c r="L466" s="148"/>
      <c r="M466" s="155"/>
      <c r="N466" s="144"/>
      <c r="O466" s="144"/>
      <c r="P466" s="144"/>
      <c r="Q466" s="145"/>
      <c r="R466" s="145"/>
      <c r="S466" s="154"/>
      <c r="T466" s="155"/>
      <c r="U466" s="144"/>
      <c r="V466" s="144"/>
    </row>
    <row r="467" spans="1:22" ht="14" x14ac:dyDescent="0.15">
      <c r="A467" s="144"/>
      <c r="B467" s="144"/>
      <c r="C467" s="145"/>
      <c r="D467" s="145"/>
      <c r="E467" s="148"/>
      <c r="F467" s="155"/>
      <c r="G467" s="144"/>
      <c r="H467" s="144"/>
      <c r="I467" s="144"/>
      <c r="J467" s="145"/>
      <c r="K467" s="145"/>
      <c r="L467" s="148"/>
      <c r="M467" s="155"/>
      <c r="N467" s="144"/>
      <c r="O467" s="144"/>
      <c r="P467" s="144"/>
      <c r="Q467" s="145"/>
      <c r="R467" s="145"/>
      <c r="S467" s="154"/>
      <c r="T467" s="155"/>
      <c r="U467" s="144"/>
      <c r="V467" s="144"/>
    </row>
    <row r="468" spans="1:22" ht="14" x14ac:dyDescent="0.15">
      <c r="A468" s="144"/>
      <c r="B468" s="144"/>
      <c r="C468" s="145"/>
      <c r="D468" s="145"/>
      <c r="E468" s="148"/>
      <c r="F468" s="155"/>
      <c r="G468" s="144"/>
      <c r="H468" s="144"/>
      <c r="I468" s="144"/>
      <c r="J468" s="145"/>
      <c r="K468" s="145"/>
      <c r="L468" s="148"/>
      <c r="M468" s="155"/>
      <c r="N468" s="144"/>
      <c r="O468" s="144"/>
      <c r="P468" s="144"/>
      <c r="Q468" s="145"/>
      <c r="R468" s="145"/>
      <c r="S468" s="154"/>
      <c r="T468" s="155"/>
      <c r="U468" s="144"/>
      <c r="V468" s="144"/>
    </row>
    <row r="469" spans="1:22" ht="14" x14ac:dyDescent="0.15">
      <c r="A469" s="144"/>
      <c r="B469" s="144"/>
      <c r="C469" s="145"/>
      <c r="D469" s="145"/>
      <c r="E469" s="148"/>
      <c r="F469" s="155"/>
      <c r="G469" s="144"/>
      <c r="H469" s="144"/>
      <c r="I469" s="144"/>
      <c r="J469" s="145"/>
      <c r="K469" s="145"/>
      <c r="L469" s="148"/>
      <c r="M469" s="155"/>
      <c r="N469" s="144"/>
      <c r="O469" s="144"/>
      <c r="P469" s="144"/>
      <c r="Q469" s="145"/>
      <c r="R469" s="145"/>
      <c r="S469" s="154"/>
      <c r="T469" s="155"/>
      <c r="U469" s="144"/>
      <c r="V469" s="144"/>
    </row>
    <row r="470" spans="1:22" ht="14" x14ac:dyDescent="0.15">
      <c r="A470" s="144"/>
      <c r="B470" s="144"/>
      <c r="C470" s="145"/>
      <c r="D470" s="145"/>
      <c r="E470" s="148"/>
      <c r="F470" s="155"/>
      <c r="G470" s="144"/>
      <c r="H470" s="144"/>
      <c r="I470" s="144"/>
      <c r="J470" s="145"/>
      <c r="K470" s="145"/>
      <c r="L470" s="148"/>
      <c r="M470" s="155"/>
      <c r="N470" s="144"/>
      <c r="O470" s="144"/>
      <c r="P470" s="144"/>
      <c r="Q470" s="145"/>
      <c r="R470" s="145"/>
      <c r="S470" s="154"/>
      <c r="T470" s="155"/>
      <c r="U470" s="144"/>
      <c r="V470" s="144"/>
    </row>
    <row r="471" spans="1:22" ht="14" x14ac:dyDescent="0.15">
      <c r="A471" s="144"/>
      <c r="B471" s="144"/>
      <c r="C471" s="145"/>
      <c r="D471" s="145"/>
      <c r="E471" s="148"/>
      <c r="F471" s="155"/>
      <c r="G471" s="144"/>
      <c r="H471" s="144"/>
      <c r="I471" s="144"/>
      <c r="J471" s="145"/>
      <c r="K471" s="145"/>
      <c r="L471" s="148"/>
      <c r="M471" s="155"/>
      <c r="N471" s="144"/>
      <c r="O471" s="144"/>
      <c r="P471" s="144"/>
      <c r="Q471" s="145"/>
      <c r="R471" s="145"/>
      <c r="S471" s="154"/>
      <c r="T471" s="155"/>
      <c r="U471" s="144"/>
      <c r="V471" s="144"/>
    </row>
    <row r="472" spans="1:22" ht="14" x14ac:dyDescent="0.15">
      <c r="A472" s="144"/>
      <c r="B472" s="144"/>
      <c r="C472" s="145"/>
      <c r="D472" s="145"/>
      <c r="E472" s="148"/>
      <c r="F472" s="155"/>
      <c r="G472" s="144"/>
      <c r="H472" s="144"/>
      <c r="I472" s="144"/>
      <c r="J472" s="145"/>
      <c r="K472" s="145"/>
      <c r="L472" s="148"/>
      <c r="M472" s="155"/>
      <c r="N472" s="144"/>
      <c r="O472" s="144"/>
      <c r="P472" s="144"/>
      <c r="Q472" s="145"/>
      <c r="R472" s="145"/>
      <c r="S472" s="154"/>
      <c r="T472" s="155"/>
      <c r="U472" s="144"/>
      <c r="V472" s="144"/>
    </row>
    <row r="473" spans="1:22" ht="14" x14ac:dyDescent="0.15">
      <c r="A473" s="144"/>
      <c r="B473" s="144"/>
      <c r="C473" s="145"/>
      <c r="D473" s="145"/>
      <c r="E473" s="148"/>
      <c r="F473" s="155"/>
      <c r="G473" s="144"/>
      <c r="H473" s="144"/>
      <c r="I473" s="144"/>
      <c r="J473" s="145"/>
      <c r="K473" s="145"/>
      <c r="L473" s="148"/>
      <c r="M473" s="155"/>
      <c r="N473" s="144"/>
      <c r="O473" s="144"/>
      <c r="P473" s="144"/>
      <c r="Q473" s="145"/>
      <c r="R473" s="145"/>
      <c r="S473" s="154"/>
      <c r="T473" s="155"/>
      <c r="U473" s="144"/>
      <c r="V473" s="144"/>
    </row>
    <row r="474" spans="1:22" ht="14" x14ac:dyDescent="0.15">
      <c r="A474" s="144"/>
      <c r="B474" s="144"/>
      <c r="C474" s="145"/>
      <c r="D474" s="145"/>
      <c r="E474" s="148"/>
      <c r="F474" s="155"/>
      <c r="G474" s="144"/>
      <c r="H474" s="144"/>
      <c r="I474" s="144"/>
      <c r="J474" s="145"/>
      <c r="K474" s="145"/>
      <c r="L474" s="148"/>
      <c r="M474" s="155"/>
      <c r="N474" s="144"/>
      <c r="O474" s="144"/>
      <c r="P474" s="144"/>
      <c r="Q474" s="145"/>
      <c r="R474" s="145"/>
      <c r="S474" s="154"/>
      <c r="T474" s="155"/>
      <c r="U474" s="144"/>
      <c r="V474" s="144"/>
    </row>
    <row r="475" spans="1:22" ht="14" x14ac:dyDescent="0.15">
      <c r="A475" s="144"/>
      <c r="B475" s="144"/>
      <c r="C475" s="145"/>
      <c r="D475" s="145"/>
      <c r="E475" s="148"/>
      <c r="F475" s="155"/>
      <c r="G475" s="144"/>
      <c r="H475" s="144"/>
      <c r="I475" s="144"/>
      <c r="J475" s="145"/>
      <c r="K475" s="145"/>
      <c r="L475" s="148"/>
      <c r="M475" s="155"/>
      <c r="N475" s="144"/>
      <c r="O475" s="144"/>
      <c r="P475" s="144"/>
      <c r="Q475" s="145"/>
      <c r="R475" s="145"/>
      <c r="S475" s="154"/>
      <c r="T475" s="155"/>
      <c r="U475" s="144"/>
      <c r="V475" s="144"/>
    </row>
    <row r="476" spans="1:22" ht="14" x14ac:dyDescent="0.15">
      <c r="A476" s="144"/>
      <c r="B476" s="144"/>
      <c r="C476" s="145"/>
      <c r="D476" s="145"/>
      <c r="E476" s="148"/>
      <c r="F476" s="155"/>
      <c r="G476" s="144"/>
      <c r="H476" s="144"/>
      <c r="I476" s="144"/>
      <c r="J476" s="145"/>
      <c r="K476" s="145"/>
      <c r="L476" s="148"/>
      <c r="M476" s="155"/>
      <c r="N476" s="144"/>
      <c r="O476" s="144"/>
      <c r="P476" s="144"/>
      <c r="Q476" s="145"/>
      <c r="R476" s="145"/>
      <c r="S476" s="154"/>
      <c r="T476" s="155"/>
      <c r="U476" s="144"/>
      <c r="V476" s="144"/>
    </row>
    <row r="477" spans="1:22" ht="14" x14ac:dyDescent="0.15">
      <c r="A477" s="144"/>
      <c r="B477" s="144"/>
      <c r="C477" s="145"/>
      <c r="D477" s="145"/>
      <c r="E477" s="148"/>
      <c r="F477" s="155"/>
      <c r="G477" s="144"/>
      <c r="H477" s="144"/>
      <c r="I477" s="144"/>
      <c r="J477" s="145"/>
      <c r="K477" s="145"/>
      <c r="L477" s="148"/>
      <c r="M477" s="155"/>
      <c r="N477" s="144"/>
      <c r="O477" s="144"/>
      <c r="P477" s="144"/>
      <c r="Q477" s="145"/>
      <c r="R477" s="145"/>
      <c r="S477" s="154"/>
      <c r="T477" s="155"/>
      <c r="U477" s="144"/>
      <c r="V477" s="144"/>
    </row>
    <row r="478" spans="1:22" ht="14" x14ac:dyDescent="0.15">
      <c r="A478" s="144"/>
      <c r="B478" s="144"/>
      <c r="C478" s="145"/>
      <c r="D478" s="145"/>
      <c r="E478" s="148"/>
      <c r="F478" s="155"/>
      <c r="G478" s="144"/>
      <c r="H478" s="144"/>
      <c r="I478" s="144"/>
      <c r="J478" s="145"/>
      <c r="K478" s="145"/>
      <c r="L478" s="148"/>
      <c r="M478" s="155"/>
      <c r="N478" s="144"/>
      <c r="O478" s="144"/>
      <c r="P478" s="144"/>
      <c r="Q478" s="145"/>
      <c r="R478" s="145"/>
      <c r="S478" s="154"/>
      <c r="T478" s="155"/>
      <c r="U478" s="144"/>
      <c r="V478" s="144"/>
    </row>
    <row r="479" spans="1:22" ht="14" x14ac:dyDescent="0.15">
      <c r="A479" s="144"/>
      <c r="B479" s="144"/>
      <c r="C479" s="145"/>
      <c r="D479" s="145"/>
      <c r="E479" s="148"/>
      <c r="F479" s="155"/>
      <c r="G479" s="144"/>
      <c r="H479" s="144"/>
      <c r="I479" s="144"/>
      <c r="J479" s="145"/>
      <c r="K479" s="145"/>
      <c r="L479" s="148"/>
      <c r="M479" s="155"/>
      <c r="N479" s="144"/>
      <c r="O479" s="144"/>
      <c r="P479" s="144"/>
      <c r="Q479" s="145"/>
      <c r="R479" s="145"/>
      <c r="S479" s="154"/>
      <c r="T479" s="155"/>
      <c r="U479" s="144"/>
      <c r="V479" s="144"/>
    </row>
    <row r="480" spans="1:22" ht="14" x14ac:dyDescent="0.15">
      <c r="A480" s="144"/>
      <c r="B480" s="144"/>
      <c r="C480" s="145"/>
      <c r="D480" s="145"/>
      <c r="E480" s="148"/>
      <c r="F480" s="155"/>
      <c r="G480" s="144"/>
      <c r="H480" s="144"/>
      <c r="I480" s="144"/>
      <c r="J480" s="145"/>
      <c r="K480" s="145"/>
      <c r="L480" s="148"/>
      <c r="M480" s="155"/>
      <c r="N480" s="144"/>
      <c r="O480" s="144"/>
      <c r="P480" s="144"/>
      <c r="Q480" s="145"/>
      <c r="R480" s="145"/>
      <c r="S480" s="154"/>
      <c r="T480" s="155"/>
      <c r="U480" s="144"/>
      <c r="V480" s="144"/>
    </row>
    <row r="481" spans="1:22" ht="14" x14ac:dyDescent="0.15">
      <c r="A481" s="144"/>
      <c r="B481" s="144"/>
      <c r="C481" s="145"/>
      <c r="D481" s="145"/>
      <c r="E481" s="148"/>
      <c r="F481" s="155"/>
      <c r="G481" s="144"/>
      <c r="H481" s="144"/>
      <c r="I481" s="144"/>
      <c r="J481" s="145"/>
      <c r="K481" s="145"/>
      <c r="L481" s="148"/>
      <c r="M481" s="155"/>
      <c r="N481" s="144"/>
      <c r="O481" s="144"/>
      <c r="P481" s="144"/>
      <c r="Q481" s="145"/>
      <c r="R481" s="145"/>
      <c r="S481" s="154"/>
      <c r="T481" s="155"/>
      <c r="U481" s="144"/>
      <c r="V481" s="144"/>
    </row>
    <row r="482" spans="1:22" ht="14" x14ac:dyDescent="0.15">
      <c r="A482" s="144"/>
      <c r="B482" s="144"/>
      <c r="C482" s="145"/>
      <c r="D482" s="145"/>
      <c r="E482" s="148"/>
      <c r="F482" s="155"/>
      <c r="G482" s="144"/>
      <c r="H482" s="144"/>
      <c r="I482" s="144"/>
      <c r="J482" s="145"/>
      <c r="K482" s="145"/>
      <c r="L482" s="148"/>
      <c r="M482" s="155"/>
      <c r="N482" s="144"/>
      <c r="O482" s="144"/>
      <c r="P482" s="144"/>
      <c r="Q482" s="145"/>
      <c r="R482" s="145"/>
      <c r="S482" s="154"/>
      <c r="T482" s="155"/>
      <c r="U482" s="144"/>
      <c r="V482" s="144"/>
    </row>
    <row r="483" spans="1:22" ht="14" x14ac:dyDescent="0.15">
      <c r="A483" s="144"/>
      <c r="B483" s="144"/>
      <c r="C483" s="145"/>
      <c r="D483" s="145"/>
      <c r="E483" s="148"/>
      <c r="F483" s="155"/>
      <c r="G483" s="144"/>
      <c r="H483" s="144"/>
      <c r="I483" s="144"/>
      <c r="J483" s="145"/>
      <c r="K483" s="145"/>
      <c r="L483" s="148"/>
      <c r="M483" s="155"/>
      <c r="N483" s="144"/>
      <c r="O483" s="144"/>
      <c r="P483" s="144"/>
      <c r="Q483" s="145"/>
      <c r="R483" s="145"/>
      <c r="S483" s="154"/>
      <c r="T483" s="155"/>
      <c r="U483" s="144"/>
      <c r="V483" s="144"/>
    </row>
    <row r="484" spans="1:22" ht="14" x14ac:dyDescent="0.15">
      <c r="A484" s="144"/>
      <c r="B484" s="144"/>
      <c r="C484" s="145"/>
      <c r="D484" s="145"/>
      <c r="E484" s="148"/>
      <c r="F484" s="155"/>
      <c r="G484" s="144"/>
      <c r="H484" s="144"/>
      <c r="I484" s="144"/>
      <c r="J484" s="145"/>
      <c r="K484" s="145"/>
      <c r="L484" s="148"/>
      <c r="M484" s="155"/>
      <c r="N484" s="144"/>
      <c r="O484" s="144"/>
      <c r="P484" s="144"/>
      <c r="Q484" s="145"/>
      <c r="R484" s="145"/>
      <c r="S484" s="154"/>
      <c r="T484" s="155"/>
      <c r="U484" s="144"/>
      <c r="V484" s="144"/>
    </row>
    <row r="485" spans="1:22" ht="14" x14ac:dyDescent="0.15">
      <c r="A485" s="144"/>
      <c r="B485" s="144"/>
      <c r="C485" s="145"/>
      <c r="D485" s="145"/>
      <c r="E485" s="148"/>
      <c r="F485" s="155"/>
      <c r="G485" s="144"/>
      <c r="H485" s="144"/>
      <c r="I485" s="144"/>
      <c r="J485" s="145"/>
      <c r="K485" s="145"/>
      <c r="L485" s="148"/>
      <c r="M485" s="155"/>
      <c r="N485" s="144"/>
      <c r="O485" s="144"/>
      <c r="P485" s="144"/>
      <c r="Q485" s="145"/>
      <c r="R485" s="145"/>
      <c r="S485" s="154"/>
      <c r="T485" s="155"/>
      <c r="U485" s="144"/>
      <c r="V485" s="144"/>
    </row>
    <row r="486" spans="1:22" ht="14" x14ac:dyDescent="0.15">
      <c r="A486" s="144"/>
      <c r="B486" s="144"/>
      <c r="C486" s="145"/>
      <c r="D486" s="145"/>
      <c r="E486" s="148"/>
      <c r="F486" s="155"/>
      <c r="G486" s="144"/>
      <c r="H486" s="144"/>
      <c r="I486" s="144"/>
      <c r="J486" s="145"/>
      <c r="K486" s="145"/>
      <c r="L486" s="148"/>
      <c r="M486" s="155"/>
      <c r="N486" s="144"/>
      <c r="O486" s="144"/>
      <c r="P486" s="144"/>
      <c r="Q486" s="145"/>
      <c r="R486" s="145"/>
      <c r="S486" s="154"/>
      <c r="T486" s="155"/>
      <c r="U486" s="144"/>
      <c r="V486" s="144"/>
    </row>
    <row r="487" spans="1:22" ht="14" x14ac:dyDescent="0.15">
      <c r="A487" s="144"/>
      <c r="B487" s="144"/>
      <c r="C487" s="145"/>
      <c r="D487" s="145"/>
      <c r="E487" s="148"/>
      <c r="F487" s="155"/>
      <c r="G487" s="144"/>
      <c r="H487" s="144"/>
      <c r="I487" s="144"/>
      <c r="J487" s="145"/>
      <c r="K487" s="145"/>
      <c r="L487" s="148"/>
      <c r="M487" s="155"/>
      <c r="N487" s="144"/>
      <c r="O487" s="144"/>
      <c r="P487" s="144"/>
      <c r="Q487" s="145"/>
      <c r="R487" s="145"/>
      <c r="S487" s="154"/>
      <c r="T487" s="155"/>
      <c r="U487" s="144"/>
      <c r="V487" s="144"/>
    </row>
    <row r="488" spans="1:22" ht="14" x14ac:dyDescent="0.15">
      <c r="A488" s="144"/>
      <c r="B488" s="144"/>
      <c r="C488" s="145"/>
      <c r="D488" s="145"/>
      <c r="E488" s="148"/>
      <c r="F488" s="155"/>
      <c r="G488" s="144"/>
      <c r="H488" s="144"/>
      <c r="I488" s="144"/>
      <c r="J488" s="145"/>
      <c r="K488" s="145"/>
      <c r="L488" s="148"/>
      <c r="M488" s="155"/>
      <c r="N488" s="144"/>
      <c r="O488" s="144"/>
      <c r="P488" s="144"/>
      <c r="Q488" s="145"/>
      <c r="R488" s="145"/>
      <c r="S488" s="154"/>
      <c r="T488" s="155"/>
      <c r="U488" s="144"/>
      <c r="V488" s="144"/>
    </row>
    <row r="489" spans="1:22" ht="14" x14ac:dyDescent="0.15">
      <c r="A489" s="144"/>
      <c r="B489" s="144"/>
      <c r="C489" s="145"/>
      <c r="D489" s="145"/>
      <c r="E489" s="148"/>
      <c r="F489" s="155"/>
      <c r="G489" s="144"/>
      <c r="H489" s="144"/>
      <c r="I489" s="144"/>
      <c r="J489" s="145"/>
      <c r="K489" s="145"/>
      <c r="L489" s="148"/>
      <c r="M489" s="155"/>
      <c r="N489" s="144"/>
      <c r="O489" s="144"/>
      <c r="P489" s="144"/>
      <c r="Q489" s="145"/>
      <c r="R489" s="145"/>
      <c r="S489" s="154"/>
      <c r="T489" s="155"/>
      <c r="U489" s="144"/>
      <c r="V489" s="144"/>
    </row>
    <row r="490" spans="1:22" ht="14" x14ac:dyDescent="0.15">
      <c r="A490" s="144"/>
      <c r="B490" s="144"/>
      <c r="C490" s="145"/>
      <c r="D490" s="145"/>
      <c r="E490" s="148"/>
      <c r="F490" s="155"/>
      <c r="G490" s="144"/>
      <c r="H490" s="144"/>
      <c r="I490" s="144"/>
      <c r="J490" s="145"/>
      <c r="K490" s="145"/>
      <c r="L490" s="148"/>
      <c r="M490" s="155"/>
      <c r="N490" s="144"/>
      <c r="O490" s="144"/>
      <c r="P490" s="144"/>
      <c r="Q490" s="145"/>
      <c r="R490" s="145"/>
      <c r="S490" s="154"/>
      <c r="T490" s="155"/>
      <c r="U490" s="144"/>
      <c r="V490" s="144"/>
    </row>
    <row r="491" spans="1:22" ht="14" x14ac:dyDescent="0.15">
      <c r="A491" s="144"/>
      <c r="B491" s="144"/>
      <c r="C491" s="145"/>
      <c r="D491" s="145"/>
      <c r="E491" s="148"/>
      <c r="F491" s="155"/>
      <c r="G491" s="144"/>
      <c r="H491" s="144"/>
      <c r="I491" s="144"/>
      <c r="J491" s="145"/>
      <c r="K491" s="145"/>
      <c r="L491" s="148"/>
      <c r="M491" s="155"/>
      <c r="N491" s="144"/>
      <c r="O491" s="144"/>
      <c r="P491" s="144"/>
      <c r="Q491" s="145"/>
      <c r="R491" s="145"/>
      <c r="S491" s="154"/>
      <c r="T491" s="155"/>
      <c r="U491" s="144"/>
      <c r="V491" s="144"/>
    </row>
    <row r="492" spans="1:22" ht="14" x14ac:dyDescent="0.15">
      <c r="A492" s="144"/>
      <c r="B492" s="144"/>
      <c r="C492" s="145"/>
      <c r="D492" s="145"/>
      <c r="E492" s="148"/>
      <c r="F492" s="155"/>
      <c r="G492" s="144"/>
      <c r="H492" s="144"/>
      <c r="I492" s="144"/>
      <c r="J492" s="145"/>
      <c r="K492" s="145"/>
      <c r="L492" s="148"/>
      <c r="M492" s="155"/>
      <c r="N492" s="144"/>
      <c r="O492" s="144"/>
      <c r="P492" s="144"/>
      <c r="Q492" s="145"/>
      <c r="R492" s="145"/>
      <c r="S492" s="154"/>
      <c r="T492" s="155"/>
      <c r="U492" s="144"/>
      <c r="V492" s="144"/>
    </row>
    <row r="493" spans="1:22" ht="14" x14ac:dyDescent="0.15">
      <c r="A493" s="144"/>
      <c r="B493" s="144"/>
      <c r="C493" s="145"/>
      <c r="D493" s="145"/>
      <c r="E493" s="148"/>
      <c r="F493" s="155"/>
      <c r="G493" s="144"/>
      <c r="H493" s="144"/>
      <c r="I493" s="144"/>
      <c r="J493" s="145"/>
      <c r="K493" s="145"/>
      <c r="L493" s="148"/>
      <c r="M493" s="155"/>
      <c r="N493" s="144"/>
      <c r="O493" s="144"/>
      <c r="P493" s="144"/>
      <c r="Q493" s="145"/>
      <c r="R493" s="145"/>
      <c r="S493" s="154"/>
      <c r="T493" s="155"/>
      <c r="U493" s="144"/>
      <c r="V493" s="144"/>
    </row>
    <row r="494" spans="1:22" ht="14" x14ac:dyDescent="0.15">
      <c r="A494" s="144"/>
      <c r="B494" s="144"/>
      <c r="C494" s="145"/>
      <c r="D494" s="145"/>
      <c r="E494" s="148"/>
      <c r="F494" s="155"/>
      <c r="G494" s="144"/>
      <c r="H494" s="144"/>
      <c r="I494" s="144"/>
      <c r="J494" s="145"/>
      <c r="K494" s="145"/>
      <c r="L494" s="148"/>
      <c r="M494" s="155"/>
      <c r="N494" s="144"/>
      <c r="O494" s="144"/>
      <c r="P494" s="144"/>
      <c r="Q494" s="145"/>
      <c r="R494" s="145"/>
      <c r="S494" s="154"/>
      <c r="T494" s="155"/>
      <c r="U494" s="144"/>
      <c r="V494" s="144"/>
    </row>
    <row r="495" spans="1:22" ht="14" x14ac:dyDescent="0.15">
      <c r="A495" s="144"/>
      <c r="B495" s="144"/>
      <c r="C495" s="145"/>
      <c r="D495" s="145"/>
      <c r="E495" s="148"/>
      <c r="F495" s="155"/>
      <c r="G495" s="144"/>
      <c r="H495" s="144"/>
      <c r="I495" s="144"/>
      <c r="J495" s="145"/>
      <c r="K495" s="145"/>
      <c r="L495" s="148"/>
      <c r="M495" s="155"/>
      <c r="N495" s="144"/>
      <c r="O495" s="144"/>
      <c r="P495" s="144"/>
      <c r="Q495" s="145"/>
      <c r="R495" s="145"/>
      <c r="S495" s="154"/>
      <c r="T495" s="155"/>
      <c r="U495" s="144"/>
      <c r="V495" s="144"/>
    </row>
    <row r="496" spans="1:22" ht="14" x14ac:dyDescent="0.15">
      <c r="A496" s="144"/>
      <c r="B496" s="144"/>
      <c r="C496" s="145"/>
      <c r="D496" s="145"/>
      <c r="E496" s="148"/>
      <c r="F496" s="155"/>
      <c r="G496" s="144"/>
      <c r="H496" s="144"/>
      <c r="I496" s="144"/>
      <c r="J496" s="145"/>
      <c r="K496" s="145"/>
      <c r="L496" s="148"/>
      <c r="M496" s="155"/>
      <c r="N496" s="144"/>
      <c r="O496" s="144"/>
      <c r="P496" s="144"/>
      <c r="Q496" s="145"/>
      <c r="R496" s="145"/>
      <c r="S496" s="154"/>
      <c r="T496" s="155"/>
      <c r="U496" s="144"/>
      <c r="V496" s="144"/>
    </row>
    <row r="497" spans="1:22" ht="14" x14ac:dyDescent="0.15">
      <c r="A497" s="144"/>
      <c r="B497" s="144"/>
      <c r="C497" s="145"/>
      <c r="D497" s="145"/>
      <c r="E497" s="148"/>
      <c r="F497" s="155"/>
      <c r="G497" s="144"/>
      <c r="H497" s="144"/>
      <c r="I497" s="144"/>
      <c r="J497" s="145"/>
      <c r="K497" s="145"/>
      <c r="L497" s="148"/>
      <c r="M497" s="155"/>
      <c r="N497" s="144"/>
      <c r="O497" s="144"/>
      <c r="P497" s="144"/>
      <c r="Q497" s="145"/>
      <c r="R497" s="145"/>
      <c r="S497" s="154"/>
      <c r="T497" s="155"/>
      <c r="U497" s="144"/>
      <c r="V497" s="144"/>
    </row>
    <row r="498" spans="1:22" ht="14" x14ac:dyDescent="0.15">
      <c r="A498" s="144"/>
      <c r="B498" s="144"/>
      <c r="C498" s="145"/>
      <c r="D498" s="145"/>
      <c r="E498" s="148"/>
      <c r="F498" s="155"/>
      <c r="G498" s="144"/>
      <c r="H498" s="144"/>
      <c r="I498" s="144"/>
      <c r="J498" s="145"/>
      <c r="K498" s="145"/>
      <c r="L498" s="148"/>
      <c r="M498" s="155"/>
      <c r="N498" s="144"/>
      <c r="O498" s="144"/>
      <c r="P498" s="144"/>
      <c r="Q498" s="145"/>
      <c r="R498" s="145"/>
      <c r="S498" s="154"/>
      <c r="T498" s="155"/>
      <c r="U498" s="144"/>
      <c r="V498" s="144"/>
    </row>
    <row r="499" spans="1:22" ht="14" x14ac:dyDescent="0.15">
      <c r="A499" s="144"/>
      <c r="B499" s="144"/>
      <c r="C499" s="145"/>
      <c r="D499" s="145"/>
      <c r="E499" s="148"/>
      <c r="F499" s="155"/>
      <c r="G499" s="144"/>
      <c r="H499" s="144"/>
      <c r="I499" s="144"/>
      <c r="J499" s="145"/>
      <c r="K499" s="145"/>
      <c r="L499" s="148"/>
      <c r="M499" s="155"/>
      <c r="N499" s="144"/>
      <c r="O499" s="144"/>
      <c r="P499" s="144"/>
      <c r="Q499" s="145"/>
      <c r="R499" s="145"/>
      <c r="S499" s="154"/>
      <c r="T499" s="155"/>
      <c r="U499" s="144"/>
      <c r="V499" s="144"/>
    </row>
    <row r="500" spans="1:22" ht="14" x14ac:dyDescent="0.15">
      <c r="A500" s="144"/>
      <c r="B500" s="144"/>
      <c r="C500" s="145"/>
      <c r="D500" s="145"/>
      <c r="E500" s="148"/>
      <c r="F500" s="155"/>
      <c r="G500" s="144"/>
      <c r="H500" s="144"/>
      <c r="I500" s="144"/>
      <c r="J500" s="145"/>
      <c r="K500" s="145"/>
      <c r="L500" s="148"/>
      <c r="M500" s="155"/>
      <c r="N500" s="144"/>
      <c r="O500" s="144"/>
      <c r="P500" s="144"/>
      <c r="Q500" s="145"/>
      <c r="R500" s="145"/>
      <c r="S500" s="154"/>
      <c r="T500" s="155"/>
      <c r="U500" s="144"/>
      <c r="V500" s="144"/>
    </row>
    <row r="501" spans="1:22" ht="14" x14ac:dyDescent="0.15">
      <c r="A501" s="144"/>
      <c r="B501" s="144"/>
      <c r="C501" s="145"/>
      <c r="D501" s="145"/>
      <c r="E501" s="148"/>
      <c r="F501" s="155"/>
      <c r="G501" s="144"/>
      <c r="H501" s="144"/>
      <c r="I501" s="144"/>
      <c r="J501" s="145"/>
      <c r="K501" s="145"/>
      <c r="L501" s="148"/>
      <c r="M501" s="155"/>
      <c r="N501" s="144"/>
      <c r="O501" s="144"/>
      <c r="P501" s="144"/>
      <c r="Q501" s="145"/>
      <c r="R501" s="145"/>
      <c r="S501" s="154"/>
      <c r="T501" s="155"/>
      <c r="U501" s="144"/>
      <c r="V501" s="144"/>
    </row>
    <row r="502" spans="1:22" ht="14" x14ac:dyDescent="0.15">
      <c r="A502" s="144"/>
      <c r="B502" s="144"/>
      <c r="C502" s="145"/>
      <c r="D502" s="145"/>
      <c r="E502" s="148"/>
      <c r="F502" s="155"/>
      <c r="G502" s="144"/>
      <c r="H502" s="144"/>
      <c r="I502" s="144"/>
      <c r="J502" s="145"/>
      <c r="K502" s="145"/>
      <c r="L502" s="148"/>
      <c r="M502" s="155"/>
      <c r="N502" s="144"/>
      <c r="O502" s="144"/>
      <c r="P502" s="144"/>
      <c r="Q502" s="145"/>
      <c r="R502" s="145"/>
      <c r="S502" s="154"/>
      <c r="T502" s="155"/>
      <c r="U502" s="144"/>
      <c r="V502" s="144"/>
    </row>
    <row r="503" spans="1:22" ht="14" x14ac:dyDescent="0.15">
      <c r="A503" s="144"/>
      <c r="B503" s="144"/>
      <c r="C503" s="145"/>
      <c r="D503" s="145"/>
      <c r="E503" s="148"/>
      <c r="F503" s="155"/>
      <c r="G503" s="144"/>
      <c r="H503" s="144"/>
      <c r="I503" s="144"/>
      <c r="J503" s="145"/>
      <c r="K503" s="145"/>
      <c r="L503" s="148"/>
      <c r="M503" s="155"/>
      <c r="N503" s="144"/>
      <c r="O503" s="144"/>
      <c r="P503" s="144"/>
      <c r="Q503" s="145"/>
      <c r="R503" s="145"/>
      <c r="S503" s="154"/>
      <c r="T503" s="155"/>
      <c r="U503" s="144"/>
      <c r="V503" s="144"/>
    </row>
    <row r="504" spans="1:22" ht="14" x14ac:dyDescent="0.15">
      <c r="A504" s="144"/>
      <c r="B504" s="144"/>
      <c r="C504" s="145"/>
      <c r="D504" s="145"/>
      <c r="E504" s="148"/>
      <c r="F504" s="155"/>
      <c r="G504" s="144"/>
      <c r="H504" s="144"/>
      <c r="I504" s="144"/>
      <c r="J504" s="145"/>
      <c r="K504" s="145"/>
      <c r="L504" s="148"/>
      <c r="M504" s="155"/>
      <c r="N504" s="144"/>
      <c r="O504" s="144"/>
      <c r="P504" s="144"/>
      <c r="Q504" s="145"/>
      <c r="R504" s="145"/>
      <c r="S504" s="154"/>
      <c r="T504" s="155"/>
      <c r="U504" s="144"/>
      <c r="V504" s="144"/>
    </row>
    <row r="505" spans="1:22" ht="14" x14ac:dyDescent="0.15">
      <c r="A505" s="144"/>
      <c r="B505" s="144"/>
      <c r="C505" s="145"/>
      <c r="D505" s="145"/>
      <c r="E505" s="148"/>
      <c r="F505" s="155"/>
      <c r="G505" s="144"/>
      <c r="H505" s="144"/>
      <c r="I505" s="144"/>
      <c r="J505" s="145"/>
      <c r="K505" s="145"/>
      <c r="L505" s="148"/>
      <c r="M505" s="155"/>
      <c r="N505" s="144"/>
      <c r="O505" s="144"/>
      <c r="P505" s="144"/>
      <c r="Q505" s="145"/>
      <c r="R505" s="145"/>
      <c r="S505" s="154"/>
      <c r="T505" s="155"/>
      <c r="U505" s="144"/>
      <c r="V505" s="144"/>
    </row>
    <row r="506" spans="1:22" ht="14" x14ac:dyDescent="0.15">
      <c r="A506" s="144"/>
      <c r="B506" s="144"/>
      <c r="C506" s="145"/>
      <c r="D506" s="145"/>
      <c r="E506" s="148"/>
      <c r="F506" s="155"/>
      <c r="G506" s="144"/>
      <c r="H506" s="144"/>
      <c r="I506" s="144"/>
      <c r="J506" s="145"/>
      <c r="K506" s="145"/>
      <c r="L506" s="148"/>
      <c r="M506" s="155"/>
      <c r="N506" s="144"/>
      <c r="O506" s="144"/>
      <c r="P506" s="144"/>
      <c r="Q506" s="145"/>
      <c r="R506" s="145"/>
      <c r="S506" s="154"/>
      <c r="T506" s="155"/>
      <c r="U506" s="144"/>
      <c r="V506" s="144"/>
    </row>
    <row r="507" spans="1:22" ht="14" x14ac:dyDescent="0.15">
      <c r="A507" s="144"/>
      <c r="B507" s="144"/>
      <c r="C507" s="145"/>
      <c r="D507" s="145"/>
      <c r="E507" s="148"/>
      <c r="F507" s="155"/>
      <c r="G507" s="144"/>
      <c r="H507" s="144"/>
      <c r="I507" s="144"/>
      <c r="J507" s="145"/>
      <c r="K507" s="145"/>
      <c r="L507" s="148"/>
      <c r="M507" s="155"/>
      <c r="N507" s="144"/>
      <c r="O507" s="144"/>
      <c r="P507" s="144"/>
      <c r="Q507" s="145"/>
      <c r="R507" s="145"/>
      <c r="S507" s="154"/>
      <c r="T507" s="155"/>
      <c r="U507" s="144"/>
      <c r="V507" s="144"/>
    </row>
    <row r="508" spans="1:22" ht="14" x14ac:dyDescent="0.15">
      <c r="A508" s="144"/>
      <c r="B508" s="144"/>
      <c r="C508" s="145"/>
      <c r="D508" s="145"/>
      <c r="E508" s="148"/>
      <c r="F508" s="155"/>
      <c r="G508" s="144"/>
      <c r="H508" s="144"/>
      <c r="I508" s="144"/>
      <c r="J508" s="145"/>
      <c r="K508" s="145"/>
      <c r="L508" s="148"/>
      <c r="M508" s="155"/>
      <c r="N508" s="144"/>
      <c r="O508" s="144"/>
      <c r="P508" s="144"/>
      <c r="Q508" s="145"/>
      <c r="R508" s="145"/>
      <c r="S508" s="154"/>
      <c r="T508" s="155"/>
      <c r="U508" s="144"/>
      <c r="V508" s="144"/>
    </row>
    <row r="509" spans="1:22" ht="14" x14ac:dyDescent="0.15">
      <c r="A509" s="144"/>
      <c r="B509" s="144"/>
      <c r="C509" s="145"/>
      <c r="D509" s="145"/>
      <c r="E509" s="148"/>
      <c r="F509" s="155"/>
      <c r="G509" s="144"/>
      <c r="H509" s="144"/>
      <c r="I509" s="144"/>
      <c r="J509" s="145"/>
      <c r="K509" s="145"/>
      <c r="L509" s="148"/>
      <c r="M509" s="155"/>
      <c r="N509" s="144"/>
      <c r="O509" s="144"/>
      <c r="P509" s="144"/>
      <c r="Q509" s="145"/>
      <c r="R509" s="145"/>
      <c r="S509" s="154"/>
      <c r="T509" s="155"/>
      <c r="U509" s="144"/>
      <c r="V509" s="144"/>
    </row>
    <row r="510" spans="1:22" ht="14" x14ac:dyDescent="0.15">
      <c r="A510" s="144"/>
      <c r="B510" s="144"/>
      <c r="C510" s="145"/>
      <c r="D510" s="145"/>
      <c r="E510" s="148"/>
      <c r="F510" s="155"/>
      <c r="G510" s="144"/>
      <c r="H510" s="144"/>
      <c r="I510" s="144"/>
      <c r="J510" s="145"/>
      <c r="K510" s="145"/>
      <c r="L510" s="148"/>
      <c r="M510" s="155"/>
      <c r="N510" s="144"/>
      <c r="O510" s="144"/>
      <c r="P510" s="144"/>
      <c r="Q510" s="145"/>
      <c r="R510" s="145"/>
      <c r="S510" s="154"/>
      <c r="T510" s="155"/>
      <c r="U510" s="144"/>
      <c r="V510" s="144"/>
    </row>
    <row r="511" spans="1:22" ht="14" x14ac:dyDescent="0.15">
      <c r="A511" s="144"/>
      <c r="B511" s="144"/>
      <c r="C511" s="145"/>
      <c r="D511" s="145"/>
      <c r="E511" s="148"/>
      <c r="F511" s="155"/>
      <c r="G511" s="144"/>
      <c r="H511" s="144"/>
      <c r="I511" s="144"/>
      <c r="J511" s="145"/>
      <c r="K511" s="145"/>
      <c r="L511" s="148"/>
      <c r="M511" s="155"/>
      <c r="N511" s="144"/>
      <c r="O511" s="144"/>
      <c r="P511" s="144"/>
      <c r="Q511" s="145"/>
      <c r="R511" s="145"/>
      <c r="S511" s="154"/>
      <c r="T511" s="155"/>
      <c r="U511" s="144"/>
      <c r="V511" s="144"/>
    </row>
    <row r="512" spans="1:22" ht="14" x14ac:dyDescent="0.15">
      <c r="A512" s="144"/>
      <c r="B512" s="144"/>
      <c r="C512" s="145"/>
      <c r="D512" s="145"/>
      <c r="E512" s="148"/>
      <c r="F512" s="155"/>
      <c r="G512" s="144"/>
      <c r="H512" s="144"/>
      <c r="I512" s="144"/>
      <c r="J512" s="145"/>
      <c r="K512" s="145"/>
      <c r="L512" s="148"/>
      <c r="M512" s="155"/>
      <c r="N512" s="144"/>
      <c r="O512" s="144"/>
      <c r="P512" s="144"/>
      <c r="Q512" s="145"/>
      <c r="R512" s="145"/>
      <c r="S512" s="154"/>
      <c r="T512" s="155"/>
      <c r="U512" s="144"/>
      <c r="V512" s="144"/>
    </row>
    <row r="513" spans="1:22" ht="14" x14ac:dyDescent="0.15">
      <c r="A513" s="144"/>
      <c r="B513" s="144"/>
      <c r="C513" s="145"/>
      <c r="D513" s="145"/>
      <c r="E513" s="148"/>
      <c r="F513" s="155"/>
      <c r="G513" s="144"/>
      <c r="H513" s="144"/>
      <c r="I513" s="144"/>
      <c r="J513" s="145"/>
      <c r="K513" s="145"/>
      <c r="L513" s="148"/>
      <c r="M513" s="155"/>
      <c r="N513" s="144"/>
      <c r="O513" s="144"/>
      <c r="P513" s="144"/>
      <c r="Q513" s="145"/>
      <c r="R513" s="145"/>
      <c r="S513" s="154"/>
      <c r="T513" s="155"/>
      <c r="U513" s="144"/>
      <c r="V513" s="144"/>
    </row>
    <row r="514" spans="1:22" ht="14" x14ac:dyDescent="0.15">
      <c r="A514" s="144"/>
      <c r="B514" s="144"/>
      <c r="C514" s="145"/>
      <c r="D514" s="145"/>
      <c r="E514" s="148"/>
      <c r="F514" s="155"/>
      <c r="G514" s="144"/>
      <c r="H514" s="144"/>
      <c r="I514" s="144"/>
      <c r="J514" s="145"/>
      <c r="K514" s="145"/>
      <c r="L514" s="148"/>
      <c r="M514" s="155"/>
      <c r="N514" s="144"/>
      <c r="O514" s="144"/>
      <c r="P514" s="144"/>
      <c r="Q514" s="145"/>
      <c r="R514" s="145"/>
      <c r="S514" s="154"/>
      <c r="T514" s="155"/>
      <c r="U514" s="144"/>
      <c r="V514" s="144"/>
    </row>
    <row r="515" spans="1:22" ht="14" x14ac:dyDescent="0.15">
      <c r="A515" s="144"/>
      <c r="B515" s="144"/>
      <c r="C515" s="145"/>
      <c r="D515" s="145"/>
      <c r="E515" s="148"/>
      <c r="F515" s="155"/>
      <c r="G515" s="144"/>
      <c r="H515" s="144"/>
      <c r="I515" s="144"/>
      <c r="J515" s="145"/>
      <c r="K515" s="145"/>
      <c r="L515" s="148"/>
      <c r="M515" s="155"/>
      <c r="N515" s="144"/>
      <c r="O515" s="144"/>
      <c r="P515" s="144"/>
      <c r="Q515" s="145"/>
      <c r="R515" s="145"/>
      <c r="S515" s="154"/>
      <c r="T515" s="155"/>
      <c r="U515" s="144"/>
      <c r="V515" s="144"/>
    </row>
    <row r="516" spans="1:22" ht="14" x14ac:dyDescent="0.15">
      <c r="A516" s="144"/>
      <c r="B516" s="144"/>
      <c r="C516" s="145"/>
      <c r="D516" s="145"/>
      <c r="E516" s="148"/>
      <c r="F516" s="155"/>
      <c r="G516" s="144"/>
      <c r="H516" s="144"/>
      <c r="I516" s="144"/>
      <c r="J516" s="145"/>
      <c r="K516" s="145"/>
      <c r="L516" s="148"/>
      <c r="M516" s="155"/>
      <c r="N516" s="144"/>
      <c r="O516" s="144"/>
      <c r="P516" s="144"/>
      <c r="Q516" s="145"/>
      <c r="R516" s="145"/>
      <c r="S516" s="154"/>
      <c r="T516" s="155"/>
      <c r="U516" s="144"/>
      <c r="V516" s="144"/>
    </row>
    <row r="517" spans="1:22" ht="14" x14ac:dyDescent="0.15">
      <c r="A517" s="144"/>
      <c r="B517" s="144"/>
      <c r="C517" s="145"/>
      <c r="D517" s="145"/>
      <c r="E517" s="148"/>
      <c r="F517" s="155"/>
      <c r="G517" s="144"/>
      <c r="H517" s="144"/>
      <c r="I517" s="144"/>
      <c r="J517" s="145"/>
      <c r="K517" s="145"/>
      <c r="L517" s="148"/>
      <c r="M517" s="155"/>
      <c r="N517" s="144"/>
      <c r="O517" s="144"/>
      <c r="P517" s="144"/>
      <c r="Q517" s="145"/>
      <c r="R517" s="145"/>
      <c r="S517" s="154"/>
      <c r="T517" s="155"/>
      <c r="U517" s="144"/>
      <c r="V517" s="144"/>
    </row>
    <row r="518" spans="1:22" ht="14" x14ac:dyDescent="0.15">
      <c r="A518" s="144"/>
      <c r="B518" s="144"/>
      <c r="C518" s="145"/>
      <c r="D518" s="145"/>
      <c r="E518" s="148"/>
      <c r="F518" s="155"/>
      <c r="G518" s="144"/>
      <c r="H518" s="144"/>
      <c r="I518" s="144"/>
      <c r="J518" s="145"/>
      <c r="K518" s="145"/>
      <c r="L518" s="148"/>
      <c r="M518" s="155"/>
      <c r="N518" s="144"/>
      <c r="O518" s="144"/>
      <c r="P518" s="144"/>
      <c r="Q518" s="145"/>
      <c r="R518" s="145"/>
      <c r="S518" s="154"/>
      <c r="T518" s="155"/>
      <c r="U518" s="144"/>
      <c r="V518" s="144"/>
    </row>
    <row r="519" spans="1:22" ht="14" x14ac:dyDescent="0.15">
      <c r="A519" s="144"/>
      <c r="B519" s="144"/>
      <c r="C519" s="145"/>
      <c r="D519" s="145"/>
      <c r="E519" s="148"/>
      <c r="F519" s="155"/>
      <c r="G519" s="144"/>
      <c r="H519" s="144"/>
      <c r="I519" s="144"/>
      <c r="J519" s="145"/>
      <c r="K519" s="145"/>
      <c r="L519" s="148"/>
      <c r="M519" s="155"/>
      <c r="N519" s="144"/>
      <c r="O519" s="144"/>
      <c r="P519" s="144"/>
      <c r="Q519" s="145"/>
      <c r="R519" s="145"/>
      <c r="S519" s="154"/>
      <c r="T519" s="155"/>
      <c r="U519" s="144"/>
      <c r="V519" s="144"/>
    </row>
    <row r="520" spans="1:22" ht="14" x14ac:dyDescent="0.15">
      <c r="A520" s="144"/>
      <c r="B520" s="144"/>
      <c r="C520" s="145"/>
      <c r="D520" s="145"/>
      <c r="E520" s="148"/>
      <c r="F520" s="155"/>
      <c r="G520" s="144"/>
      <c r="H520" s="144"/>
      <c r="I520" s="144"/>
      <c r="J520" s="145"/>
      <c r="K520" s="145"/>
      <c r="L520" s="148"/>
      <c r="M520" s="155"/>
      <c r="N520" s="144"/>
      <c r="O520" s="144"/>
      <c r="P520" s="144"/>
      <c r="Q520" s="145"/>
      <c r="R520" s="145"/>
      <c r="S520" s="154"/>
      <c r="T520" s="155"/>
      <c r="U520" s="144"/>
      <c r="V520" s="144"/>
    </row>
    <row r="521" spans="1:22" ht="14" x14ac:dyDescent="0.15">
      <c r="A521" s="144"/>
      <c r="B521" s="144"/>
      <c r="C521" s="145"/>
      <c r="D521" s="145"/>
      <c r="E521" s="148"/>
      <c r="F521" s="155"/>
      <c r="G521" s="144"/>
      <c r="H521" s="144"/>
      <c r="I521" s="144"/>
      <c r="J521" s="145"/>
      <c r="K521" s="145"/>
      <c r="L521" s="148"/>
      <c r="M521" s="155"/>
      <c r="N521" s="144"/>
      <c r="O521" s="144"/>
      <c r="P521" s="144"/>
      <c r="Q521" s="145"/>
      <c r="R521" s="145"/>
      <c r="S521" s="154"/>
      <c r="T521" s="155"/>
      <c r="U521" s="144"/>
      <c r="V521" s="144"/>
    </row>
    <row r="522" spans="1:22" ht="14" x14ac:dyDescent="0.15">
      <c r="A522" s="144"/>
      <c r="B522" s="144"/>
      <c r="C522" s="145"/>
      <c r="D522" s="145"/>
      <c r="E522" s="148"/>
      <c r="F522" s="155"/>
      <c r="G522" s="144"/>
      <c r="H522" s="144"/>
      <c r="I522" s="144"/>
      <c r="J522" s="145"/>
      <c r="K522" s="145"/>
      <c r="L522" s="148"/>
      <c r="M522" s="155"/>
      <c r="N522" s="144"/>
      <c r="O522" s="144"/>
      <c r="P522" s="144"/>
      <c r="Q522" s="145"/>
      <c r="R522" s="145"/>
      <c r="S522" s="154"/>
      <c r="T522" s="155"/>
      <c r="U522" s="144"/>
      <c r="V522" s="144"/>
    </row>
    <row r="523" spans="1:22" ht="14" x14ac:dyDescent="0.15">
      <c r="A523" s="144"/>
      <c r="B523" s="144"/>
      <c r="C523" s="145"/>
      <c r="D523" s="145"/>
      <c r="E523" s="148"/>
      <c r="F523" s="155"/>
      <c r="G523" s="144"/>
      <c r="H523" s="144"/>
      <c r="I523" s="144"/>
      <c r="J523" s="145"/>
      <c r="K523" s="145"/>
      <c r="L523" s="148"/>
      <c r="M523" s="155"/>
      <c r="N523" s="144"/>
      <c r="O523" s="144"/>
      <c r="P523" s="144"/>
      <c r="Q523" s="145"/>
      <c r="R523" s="145"/>
      <c r="S523" s="154"/>
      <c r="T523" s="155"/>
      <c r="U523" s="144"/>
      <c r="V523" s="144"/>
    </row>
    <row r="524" spans="1:22" ht="14" x14ac:dyDescent="0.15">
      <c r="A524" s="144"/>
      <c r="B524" s="144"/>
      <c r="C524" s="145"/>
      <c r="D524" s="145"/>
      <c r="E524" s="148"/>
      <c r="F524" s="155"/>
      <c r="G524" s="144"/>
      <c r="H524" s="144"/>
      <c r="I524" s="144"/>
      <c r="J524" s="145"/>
      <c r="K524" s="145"/>
      <c r="L524" s="148"/>
      <c r="M524" s="155"/>
      <c r="N524" s="144"/>
      <c r="O524" s="144"/>
      <c r="P524" s="144"/>
      <c r="Q524" s="145"/>
      <c r="R524" s="145"/>
      <c r="S524" s="154"/>
      <c r="T524" s="155"/>
      <c r="U524" s="144"/>
      <c r="V524" s="144"/>
    </row>
    <row r="525" spans="1:22" ht="14" x14ac:dyDescent="0.15">
      <c r="A525" s="144"/>
      <c r="B525" s="144"/>
      <c r="C525" s="145"/>
      <c r="D525" s="145"/>
      <c r="E525" s="148"/>
      <c r="F525" s="155"/>
      <c r="G525" s="144"/>
      <c r="H525" s="144"/>
      <c r="I525" s="144"/>
      <c r="J525" s="145"/>
      <c r="K525" s="145"/>
      <c r="L525" s="148"/>
      <c r="M525" s="155"/>
      <c r="N525" s="144"/>
      <c r="O525" s="144"/>
      <c r="P525" s="144"/>
      <c r="Q525" s="145"/>
      <c r="R525" s="145"/>
      <c r="S525" s="154"/>
      <c r="T525" s="155"/>
      <c r="U525" s="144"/>
      <c r="V525" s="144"/>
    </row>
    <row r="526" spans="1:22" ht="14" x14ac:dyDescent="0.15">
      <c r="A526" s="144"/>
      <c r="B526" s="144"/>
      <c r="C526" s="145"/>
      <c r="D526" s="145"/>
      <c r="E526" s="148"/>
      <c r="F526" s="155"/>
      <c r="G526" s="144"/>
      <c r="H526" s="144"/>
      <c r="I526" s="144"/>
      <c r="J526" s="145"/>
      <c r="K526" s="145"/>
      <c r="L526" s="148"/>
      <c r="M526" s="155"/>
      <c r="N526" s="144"/>
      <c r="O526" s="144"/>
      <c r="P526" s="144"/>
      <c r="Q526" s="145"/>
      <c r="R526" s="145"/>
      <c r="S526" s="154"/>
      <c r="T526" s="155"/>
      <c r="U526" s="144"/>
      <c r="V526" s="144"/>
    </row>
    <row r="527" spans="1:22" ht="14" x14ac:dyDescent="0.15">
      <c r="A527" s="144"/>
      <c r="B527" s="144"/>
      <c r="C527" s="145"/>
      <c r="D527" s="145"/>
      <c r="E527" s="148"/>
      <c r="F527" s="155"/>
      <c r="G527" s="144"/>
      <c r="H527" s="144"/>
      <c r="I527" s="144"/>
      <c r="J527" s="145"/>
      <c r="K527" s="145"/>
      <c r="L527" s="148"/>
      <c r="M527" s="155"/>
      <c r="N527" s="144"/>
      <c r="O527" s="144"/>
      <c r="P527" s="144"/>
      <c r="Q527" s="145"/>
      <c r="R527" s="145"/>
      <c r="S527" s="154"/>
      <c r="T527" s="155"/>
      <c r="U527" s="144"/>
      <c r="V527" s="144"/>
    </row>
    <row r="528" spans="1:22" ht="14" x14ac:dyDescent="0.15">
      <c r="A528" s="144"/>
      <c r="B528" s="144"/>
      <c r="C528" s="145"/>
      <c r="D528" s="145"/>
      <c r="E528" s="148"/>
      <c r="F528" s="155"/>
      <c r="G528" s="144"/>
      <c r="H528" s="144"/>
      <c r="I528" s="144"/>
      <c r="J528" s="145"/>
      <c r="K528" s="145"/>
      <c r="L528" s="148"/>
      <c r="M528" s="155"/>
      <c r="N528" s="144"/>
      <c r="O528" s="144"/>
      <c r="P528" s="144"/>
      <c r="Q528" s="145"/>
      <c r="R528" s="145"/>
      <c r="S528" s="154"/>
      <c r="T528" s="155"/>
      <c r="U528" s="144"/>
      <c r="V528" s="144"/>
    </row>
    <row r="529" spans="1:22" ht="14" x14ac:dyDescent="0.15">
      <c r="A529" s="144"/>
      <c r="B529" s="144"/>
      <c r="C529" s="145"/>
      <c r="D529" s="145"/>
      <c r="E529" s="148"/>
      <c r="F529" s="155"/>
      <c r="G529" s="144"/>
      <c r="H529" s="144"/>
      <c r="I529" s="144"/>
      <c r="J529" s="145"/>
      <c r="K529" s="145"/>
      <c r="L529" s="148"/>
      <c r="M529" s="155"/>
      <c r="N529" s="144"/>
      <c r="O529" s="144"/>
      <c r="P529" s="144"/>
      <c r="Q529" s="145"/>
      <c r="R529" s="145"/>
      <c r="S529" s="154"/>
      <c r="T529" s="155"/>
      <c r="U529" s="144"/>
      <c r="V529" s="144"/>
    </row>
    <row r="530" spans="1:22" ht="14" x14ac:dyDescent="0.15">
      <c r="A530" s="144"/>
      <c r="B530" s="144"/>
      <c r="C530" s="145"/>
      <c r="D530" s="145"/>
      <c r="E530" s="148"/>
      <c r="F530" s="155"/>
      <c r="G530" s="144"/>
      <c r="H530" s="144"/>
      <c r="I530" s="144"/>
      <c r="J530" s="145"/>
      <c r="K530" s="145"/>
      <c r="L530" s="148"/>
      <c r="M530" s="155"/>
      <c r="N530" s="144"/>
      <c r="O530" s="144"/>
      <c r="P530" s="144"/>
      <c r="Q530" s="145"/>
      <c r="R530" s="145"/>
      <c r="S530" s="154"/>
      <c r="T530" s="155"/>
      <c r="U530" s="144"/>
      <c r="V530" s="144"/>
    </row>
    <row r="531" spans="1:22" ht="14" x14ac:dyDescent="0.15">
      <c r="A531" s="144"/>
      <c r="B531" s="144"/>
      <c r="C531" s="145"/>
      <c r="D531" s="145"/>
      <c r="E531" s="148"/>
      <c r="F531" s="155"/>
      <c r="G531" s="144"/>
      <c r="H531" s="144"/>
      <c r="I531" s="144"/>
      <c r="J531" s="145"/>
      <c r="K531" s="145"/>
      <c r="L531" s="148"/>
      <c r="M531" s="155"/>
      <c r="N531" s="144"/>
      <c r="O531" s="144"/>
      <c r="P531" s="144"/>
      <c r="Q531" s="145"/>
      <c r="R531" s="145"/>
      <c r="S531" s="154"/>
      <c r="T531" s="155"/>
      <c r="U531" s="144"/>
      <c r="V531" s="144"/>
    </row>
    <row r="532" spans="1:22" ht="14" x14ac:dyDescent="0.15">
      <c r="A532" s="144"/>
      <c r="B532" s="144"/>
      <c r="C532" s="145"/>
      <c r="D532" s="145"/>
      <c r="E532" s="148"/>
      <c r="F532" s="155"/>
      <c r="G532" s="144"/>
      <c r="H532" s="144"/>
      <c r="I532" s="144"/>
      <c r="J532" s="145"/>
      <c r="K532" s="145"/>
      <c r="L532" s="148"/>
      <c r="M532" s="155"/>
      <c r="N532" s="144"/>
      <c r="O532" s="144"/>
      <c r="P532" s="144"/>
      <c r="Q532" s="145"/>
      <c r="R532" s="145"/>
      <c r="S532" s="154"/>
      <c r="T532" s="155"/>
      <c r="U532" s="144"/>
      <c r="V532" s="144"/>
    </row>
    <row r="533" spans="1:22" ht="14" x14ac:dyDescent="0.15">
      <c r="A533" s="144"/>
      <c r="B533" s="144"/>
      <c r="C533" s="145"/>
      <c r="D533" s="145"/>
      <c r="E533" s="148"/>
      <c r="F533" s="155"/>
      <c r="G533" s="144"/>
      <c r="H533" s="144"/>
      <c r="I533" s="144"/>
      <c r="J533" s="145"/>
      <c r="K533" s="145"/>
      <c r="L533" s="148"/>
      <c r="M533" s="155"/>
      <c r="N533" s="144"/>
      <c r="O533" s="144"/>
      <c r="P533" s="144"/>
      <c r="Q533" s="145"/>
      <c r="R533" s="145"/>
      <c r="S533" s="154"/>
      <c r="T533" s="155"/>
      <c r="U533" s="144"/>
      <c r="V533" s="144"/>
    </row>
    <row r="534" spans="1:22" ht="14" x14ac:dyDescent="0.15">
      <c r="A534" s="144"/>
      <c r="B534" s="144"/>
      <c r="C534" s="145"/>
      <c r="D534" s="145"/>
      <c r="E534" s="148"/>
      <c r="F534" s="155"/>
      <c r="G534" s="144"/>
      <c r="H534" s="144"/>
      <c r="I534" s="144"/>
      <c r="J534" s="145"/>
      <c r="K534" s="145"/>
      <c r="L534" s="148"/>
      <c r="M534" s="155"/>
      <c r="N534" s="144"/>
      <c r="O534" s="144"/>
      <c r="P534" s="144"/>
      <c r="Q534" s="145"/>
      <c r="R534" s="145"/>
      <c r="S534" s="154"/>
      <c r="T534" s="155"/>
      <c r="U534" s="144"/>
      <c r="V534" s="144"/>
    </row>
    <row r="535" spans="1:22" ht="14" x14ac:dyDescent="0.15">
      <c r="A535" s="144"/>
      <c r="B535" s="144"/>
      <c r="C535" s="145"/>
      <c r="D535" s="145"/>
      <c r="E535" s="148"/>
      <c r="F535" s="155"/>
      <c r="G535" s="144"/>
      <c r="H535" s="144"/>
      <c r="I535" s="144"/>
      <c r="J535" s="145"/>
      <c r="K535" s="145"/>
      <c r="L535" s="148"/>
      <c r="M535" s="155"/>
      <c r="N535" s="144"/>
      <c r="O535" s="144"/>
      <c r="P535" s="144"/>
      <c r="Q535" s="145"/>
      <c r="R535" s="145"/>
      <c r="S535" s="154"/>
      <c r="T535" s="155"/>
      <c r="U535" s="144"/>
      <c r="V535" s="144"/>
    </row>
    <row r="536" spans="1:22" ht="14" x14ac:dyDescent="0.15">
      <c r="A536" s="144"/>
      <c r="B536" s="144"/>
      <c r="C536" s="145"/>
      <c r="D536" s="145"/>
      <c r="E536" s="148"/>
      <c r="F536" s="155"/>
      <c r="G536" s="144"/>
      <c r="H536" s="144"/>
      <c r="I536" s="144"/>
      <c r="J536" s="145"/>
      <c r="K536" s="145"/>
      <c r="L536" s="148"/>
      <c r="M536" s="155"/>
      <c r="N536" s="144"/>
      <c r="O536" s="144"/>
      <c r="P536" s="144"/>
      <c r="Q536" s="145"/>
      <c r="R536" s="145"/>
      <c r="S536" s="154"/>
      <c r="T536" s="155"/>
      <c r="U536" s="144"/>
      <c r="V536" s="144"/>
    </row>
    <row r="537" spans="1:22" ht="14" x14ac:dyDescent="0.15">
      <c r="A537" s="144"/>
      <c r="B537" s="144"/>
      <c r="C537" s="145"/>
      <c r="D537" s="145"/>
      <c r="E537" s="148"/>
      <c r="F537" s="155"/>
      <c r="G537" s="144"/>
      <c r="H537" s="144"/>
      <c r="I537" s="144"/>
      <c r="J537" s="145"/>
      <c r="K537" s="145"/>
      <c r="L537" s="148"/>
      <c r="M537" s="155"/>
      <c r="N537" s="144"/>
      <c r="O537" s="144"/>
      <c r="P537" s="144"/>
      <c r="Q537" s="145"/>
      <c r="R537" s="145"/>
      <c r="S537" s="154"/>
      <c r="T537" s="155"/>
      <c r="U537" s="144"/>
      <c r="V537" s="144"/>
    </row>
    <row r="538" spans="1:22" ht="14" x14ac:dyDescent="0.15">
      <c r="A538" s="144"/>
      <c r="B538" s="144"/>
      <c r="C538" s="145"/>
      <c r="D538" s="145"/>
      <c r="E538" s="148"/>
      <c r="F538" s="155"/>
      <c r="G538" s="144"/>
      <c r="H538" s="144"/>
      <c r="I538" s="144"/>
      <c r="J538" s="145"/>
      <c r="K538" s="145"/>
      <c r="L538" s="148"/>
      <c r="M538" s="155"/>
      <c r="N538" s="144"/>
      <c r="O538" s="144"/>
      <c r="P538" s="144"/>
      <c r="Q538" s="145"/>
      <c r="R538" s="145"/>
      <c r="S538" s="154"/>
      <c r="T538" s="155"/>
      <c r="U538" s="144"/>
      <c r="V538" s="144"/>
    </row>
    <row r="539" spans="1:22" ht="14" x14ac:dyDescent="0.15">
      <c r="A539" s="144"/>
      <c r="B539" s="144"/>
      <c r="C539" s="145"/>
      <c r="D539" s="145"/>
      <c r="E539" s="148"/>
      <c r="F539" s="155"/>
      <c r="G539" s="144"/>
      <c r="H539" s="144"/>
      <c r="I539" s="144"/>
      <c r="J539" s="145"/>
      <c r="K539" s="145"/>
      <c r="L539" s="148"/>
      <c r="M539" s="155"/>
      <c r="N539" s="144"/>
      <c r="O539" s="144"/>
      <c r="P539" s="144"/>
      <c r="Q539" s="145"/>
      <c r="R539" s="145"/>
      <c r="S539" s="154"/>
      <c r="T539" s="155"/>
      <c r="U539" s="144"/>
      <c r="V539" s="144"/>
    </row>
    <row r="540" spans="1:22" ht="14" x14ac:dyDescent="0.15">
      <c r="A540" s="144"/>
      <c r="B540" s="144"/>
      <c r="C540" s="145"/>
      <c r="D540" s="145"/>
      <c r="E540" s="148"/>
      <c r="F540" s="155"/>
      <c r="G540" s="144"/>
      <c r="H540" s="144"/>
      <c r="I540" s="144"/>
      <c r="J540" s="145"/>
      <c r="K540" s="145"/>
      <c r="L540" s="148"/>
      <c r="M540" s="155"/>
      <c r="N540" s="144"/>
      <c r="O540" s="144"/>
      <c r="P540" s="144"/>
      <c r="Q540" s="145"/>
      <c r="R540" s="145"/>
      <c r="S540" s="154"/>
      <c r="T540" s="155"/>
      <c r="U540" s="144"/>
      <c r="V540" s="144"/>
    </row>
    <row r="541" spans="1:22" ht="14" x14ac:dyDescent="0.15">
      <c r="A541" s="144"/>
      <c r="B541" s="144"/>
      <c r="C541" s="145"/>
      <c r="D541" s="145"/>
      <c r="E541" s="148"/>
      <c r="F541" s="155"/>
      <c r="G541" s="144"/>
      <c r="H541" s="144"/>
      <c r="I541" s="144"/>
      <c r="J541" s="145"/>
      <c r="K541" s="145"/>
      <c r="L541" s="148"/>
      <c r="M541" s="155"/>
      <c r="N541" s="144"/>
      <c r="O541" s="144"/>
      <c r="P541" s="144"/>
      <c r="Q541" s="145"/>
      <c r="R541" s="145"/>
      <c r="S541" s="154"/>
      <c r="T541" s="155"/>
      <c r="U541" s="144"/>
      <c r="V541" s="144"/>
    </row>
    <row r="542" spans="1:22" ht="14" x14ac:dyDescent="0.15">
      <c r="A542" s="144"/>
      <c r="B542" s="144"/>
      <c r="C542" s="145"/>
      <c r="D542" s="145"/>
      <c r="E542" s="148"/>
      <c r="F542" s="155"/>
      <c r="G542" s="144"/>
      <c r="H542" s="144"/>
      <c r="I542" s="144"/>
      <c r="J542" s="145"/>
      <c r="K542" s="145"/>
      <c r="L542" s="148"/>
      <c r="M542" s="155"/>
      <c r="N542" s="144"/>
      <c r="O542" s="144"/>
      <c r="P542" s="144"/>
      <c r="Q542" s="145"/>
      <c r="R542" s="145"/>
      <c r="S542" s="154"/>
      <c r="T542" s="155"/>
      <c r="U542" s="144"/>
      <c r="V542" s="144"/>
    </row>
    <row r="543" spans="1:22" ht="14" x14ac:dyDescent="0.15">
      <c r="A543" s="144"/>
      <c r="B543" s="144"/>
      <c r="C543" s="145"/>
      <c r="D543" s="145"/>
      <c r="E543" s="148"/>
      <c r="F543" s="155"/>
      <c r="G543" s="144"/>
      <c r="H543" s="144"/>
      <c r="I543" s="144"/>
      <c r="J543" s="145"/>
      <c r="K543" s="145"/>
      <c r="L543" s="148"/>
      <c r="M543" s="155"/>
      <c r="N543" s="144"/>
      <c r="O543" s="144"/>
      <c r="P543" s="144"/>
      <c r="Q543" s="145"/>
      <c r="R543" s="145"/>
      <c r="S543" s="154"/>
      <c r="T543" s="155"/>
      <c r="U543" s="144"/>
      <c r="V543" s="144"/>
    </row>
    <row r="544" spans="1:22" ht="14" x14ac:dyDescent="0.15">
      <c r="A544" s="144"/>
      <c r="B544" s="144"/>
      <c r="C544" s="145"/>
      <c r="D544" s="145"/>
      <c r="E544" s="148"/>
      <c r="F544" s="155"/>
      <c r="G544" s="144"/>
      <c r="H544" s="144"/>
      <c r="I544" s="144"/>
      <c r="J544" s="145"/>
      <c r="K544" s="145"/>
      <c r="L544" s="148"/>
      <c r="M544" s="155"/>
      <c r="N544" s="144"/>
      <c r="O544" s="144"/>
      <c r="P544" s="144"/>
      <c r="Q544" s="145"/>
      <c r="R544" s="145"/>
      <c r="S544" s="154"/>
      <c r="T544" s="155"/>
      <c r="U544" s="144"/>
      <c r="V544" s="144"/>
    </row>
    <row r="545" spans="1:22" ht="14" x14ac:dyDescent="0.15">
      <c r="A545" s="144"/>
      <c r="B545" s="144"/>
      <c r="C545" s="145"/>
      <c r="D545" s="145"/>
      <c r="E545" s="148"/>
      <c r="F545" s="155"/>
      <c r="G545" s="144"/>
      <c r="H545" s="144"/>
      <c r="I545" s="144"/>
      <c r="J545" s="145"/>
      <c r="K545" s="145"/>
      <c r="L545" s="148"/>
      <c r="M545" s="155"/>
      <c r="N545" s="144"/>
      <c r="O545" s="144"/>
      <c r="P545" s="144"/>
      <c r="Q545" s="145"/>
      <c r="R545" s="145"/>
      <c r="S545" s="154"/>
      <c r="T545" s="155"/>
      <c r="U545" s="144"/>
      <c r="V545" s="144"/>
    </row>
    <row r="546" spans="1:22" ht="14" x14ac:dyDescent="0.15">
      <c r="A546" s="144"/>
      <c r="B546" s="144"/>
      <c r="C546" s="145"/>
      <c r="D546" s="145"/>
      <c r="E546" s="148"/>
      <c r="F546" s="155"/>
      <c r="G546" s="144"/>
      <c r="H546" s="144"/>
      <c r="I546" s="144"/>
      <c r="J546" s="145"/>
      <c r="K546" s="145"/>
      <c r="L546" s="148"/>
      <c r="M546" s="155"/>
      <c r="N546" s="144"/>
      <c r="O546" s="144"/>
      <c r="P546" s="144"/>
      <c r="Q546" s="145"/>
      <c r="R546" s="145"/>
      <c r="S546" s="154"/>
      <c r="T546" s="155"/>
      <c r="U546" s="144"/>
      <c r="V546" s="144"/>
    </row>
    <row r="547" spans="1:22" ht="14" x14ac:dyDescent="0.15">
      <c r="A547" s="144"/>
      <c r="B547" s="144"/>
      <c r="C547" s="145"/>
      <c r="D547" s="145"/>
      <c r="E547" s="148"/>
      <c r="F547" s="155"/>
      <c r="G547" s="144"/>
      <c r="H547" s="144"/>
      <c r="I547" s="144"/>
      <c r="J547" s="145"/>
      <c r="K547" s="145"/>
      <c r="L547" s="148"/>
      <c r="M547" s="155"/>
      <c r="N547" s="144"/>
      <c r="O547" s="144"/>
      <c r="P547" s="144"/>
      <c r="Q547" s="145"/>
      <c r="R547" s="145"/>
      <c r="S547" s="154"/>
      <c r="T547" s="155"/>
      <c r="U547" s="144"/>
      <c r="V547" s="144"/>
    </row>
    <row r="548" spans="1:22" ht="14" x14ac:dyDescent="0.15">
      <c r="A548" s="144"/>
      <c r="B548" s="144"/>
      <c r="C548" s="145"/>
      <c r="D548" s="145"/>
      <c r="E548" s="148"/>
      <c r="F548" s="155"/>
      <c r="G548" s="144"/>
      <c r="H548" s="144"/>
      <c r="I548" s="144"/>
      <c r="J548" s="145"/>
      <c r="K548" s="145"/>
      <c r="L548" s="148"/>
      <c r="M548" s="155"/>
      <c r="N548" s="144"/>
      <c r="O548" s="144"/>
      <c r="P548" s="144"/>
      <c r="Q548" s="145"/>
      <c r="R548" s="145"/>
      <c r="S548" s="154"/>
      <c r="T548" s="155"/>
      <c r="U548" s="144"/>
      <c r="V548" s="144"/>
    </row>
    <row r="549" spans="1:22" ht="14" x14ac:dyDescent="0.15">
      <c r="A549" s="144"/>
      <c r="B549" s="144"/>
      <c r="C549" s="145"/>
      <c r="D549" s="145"/>
      <c r="E549" s="148"/>
      <c r="F549" s="155"/>
      <c r="G549" s="144"/>
      <c r="H549" s="144"/>
      <c r="I549" s="144"/>
      <c r="J549" s="145"/>
      <c r="K549" s="145"/>
      <c r="L549" s="148"/>
      <c r="M549" s="155"/>
      <c r="N549" s="144"/>
      <c r="O549" s="144"/>
      <c r="P549" s="144"/>
      <c r="Q549" s="145"/>
      <c r="R549" s="145"/>
      <c r="S549" s="154"/>
      <c r="T549" s="155"/>
      <c r="U549" s="144"/>
      <c r="V549" s="144"/>
    </row>
    <row r="550" spans="1:22" ht="14" x14ac:dyDescent="0.15">
      <c r="A550" s="144"/>
      <c r="B550" s="144"/>
      <c r="C550" s="145"/>
      <c r="D550" s="145"/>
      <c r="E550" s="148"/>
      <c r="F550" s="155"/>
      <c r="G550" s="144"/>
      <c r="H550" s="144"/>
      <c r="I550" s="144"/>
      <c r="J550" s="145"/>
      <c r="K550" s="145"/>
      <c r="L550" s="148"/>
      <c r="M550" s="155"/>
      <c r="N550" s="144"/>
      <c r="O550" s="144"/>
      <c r="P550" s="144"/>
      <c r="Q550" s="145"/>
      <c r="R550" s="145"/>
      <c r="S550" s="154"/>
      <c r="T550" s="155"/>
      <c r="U550" s="144"/>
      <c r="V550" s="144"/>
    </row>
    <row r="551" spans="1:22" ht="14" x14ac:dyDescent="0.15">
      <c r="A551" s="144"/>
      <c r="B551" s="144"/>
      <c r="C551" s="145"/>
      <c r="D551" s="145"/>
      <c r="E551" s="148"/>
      <c r="F551" s="155"/>
      <c r="G551" s="144"/>
      <c r="H551" s="144"/>
      <c r="I551" s="144"/>
      <c r="J551" s="145"/>
      <c r="K551" s="145"/>
      <c r="L551" s="148"/>
      <c r="M551" s="155"/>
      <c r="N551" s="144"/>
      <c r="O551" s="144"/>
      <c r="P551" s="144"/>
      <c r="Q551" s="145"/>
      <c r="R551" s="145"/>
      <c r="S551" s="154"/>
      <c r="T551" s="155"/>
      <c r="U551" s="144"/>
      <c r="V551" s="144"/>
    </row>
    <row r="552" spans="1:22" ht="14" x14ac:dyDescent="0.15">
      <c r="A552" s="144"/>
      <c r="B552" s="144"/>
      <c r="C552" s="145"/>
      <c r="D552" s="145"/>
      <c r="E552" s="148"/>
      <c r="F552" s="155"/>
      <c r="G552" s="144"/>
      <c r="H552" s="144"/>
      <c r="I552" s="144"/>
      <c r="J552" s="145"/>
      <c r="K552" s="145"/>
      <c r="L552" s="148"/>
      <c r="M552" s="155"/>
      <c r="N552" s="144"/>
      <c r="O552" s="144"/>
      <c r="P552" s="144"/>
      <c r="Q552" s="145"/>
      <c r="R552" s="145"/>
      <c r="S552" s="154"/>
      <c r="T552" s="155"/>
      <c r="U552" s="144"/>
      <c r="V552" s="144"/>
    </row>
    <row r="553" spans="1:22" ht="14" x14ac:dyDescent="0.15">
      <c r="A553" s="144"/>
      <c r="B553" s="144"/>
      <c r="C553" s="145"/>
      <c r="D553" s="145"/>
      <c r="E553" s="148"/>
      <c r="F553" s="155"/>
      <c r="G553" s="144"/>
      <c r="H553" s="144"/>
      <c r="I553" s="144"/>
      <c r="J553" s="145"/>
      <c r="K553" s="145"/>
      <c r="L553" s="148"/>
      <c r="M553" s="155"/>
      <c r="N553" s="144"/>
      <c r="O553" s="144"/>
      <c r="P553" s="144"/>
      <c r="Q553" s="145"/>
      <c r="R553" s="145"/>
      <c r="S553" s="154"/>
      <c r="T553" s="155"/>
      <c r="U553" s="144"/>
      <c r="V553" s="144"/>
    </row>
    <row r="554" spans="1:22" ht="14" x14ac:dyDescent="0.15">
      <c r="A554" s="144"/>
      <c r="B554" s="144"/>
      <c r="C554" s="145"/>
      <c r="D554" s="145"/>
      <c r="E554" s="148"/>
      <c r="F554" s="155"/>
      <c r="G554" s="144"/>
      <c r="H554" s="144"/>
      <c r="I554" s="144"/>
      <c r="J554" s="145"/>
      <c r="K554" s="145"/>
      <c r="L554" s="148"/>
      <c r="M554" s="155"/>
      <c r="N554" s="144"/>
      <c r="O554" s="144"/>
      <c r="P554" s="144"/>
      <c r="Q554" s="145"/>
      <c r="R554" s="145"/>
      <c r="S554" s="154"/>
      <c r="T554" s="155"/>
      <c r="U554" s="144"/>
      <c r="V554" s="144"/>
    </row>
    <row r="555" spans="1:22" ht="14" x14ac:dyDescent="0.15">
      <c r="A555" s="144"/>
      <c r="B555" s="144"/>
      <c r="C555" s="145"/>
      <c r="D555" s="145"/>
      <c r="E555" s="148"/>
      <c r="F555" s="155"/>
      <c r="G555" s="144"/>
      <c r="H555" s="144"/>
      <c r="I555" s="144"/>
      <c r="J555" s="145"/>
      <c r="K555" s="145"/>
      <c r="L555" s="148"/>
      <c r="M555" s="155"/>
      <c r="N555" s="144"/>
      <c r="O555" s="144"/>
      <c r="P555" s="144"/>
      <c r="Q555" s="145"/>
      <c r="R555" s="145"/>
      <c r="S555" s="154"/>
      <c r="T555" s="155"/>
      <c r="U555" s="144"/>
      <c r="V555" s="144"/>
    </row>
    <row r="556" spans="1:22" ht="14" x14ac:dyDescent="0.15">
      <c r="A556" s="144"/>
      <c r="B556" s="144"/>
      <c r="C556" s="145"/>
      <c r="D556" s="145"/>
      <c r="E556" s="148"/>
      <c r="F556" s="155"/>
      <c r="G556" s="144"/>
      <c r="H556" s="144"/>
      <c r="I556" s="144"/>
      <c r="J556" s="145"/>
      <c r="K556" s="145"/>
      <c r="L556" s="148"/>
      <c r="M556" s="155"/>
      <c r="N556" s="144"/>
      <c r="O556" s="144"/>
      <c r="P556" s="144"/>
      <c r="Q556" s="145"/>
      <c r="R556" s="145"/>
      <c r="S556" s="154"/>
      <c r="T556" s="155"/>
      <c r="U556" s="144"/>
      <c r="V556" s="144"/>
    </row>
    <row r="557" spans="1:22" ht="14" x14ac:dyDescent="0.15">
      <c r="A557" s="144"/>
      <c r="B557" s="144"/>
      <c r="C557" s="145"/>
      <c r="D557" s="145"/>
      <c r="E557" s="148"/>
      <c r="F557" s="155"/>
      <c r="G557" s="144"/>
      <c r="H557" s="144"/>
      <c r="I557" s="144"/>
      <c r="J557" s="145"/>
      <c r="K557" s="145"/>
      <c r="L557" s="148"/>
      <c r="M557" s="155"/>
      <c r="N557" s="144"/>
      <c r="O557" s="144"/>
      <c r="P557" s="144"/>
      <c r="Q557" s="145"/>
      <c r="R557" s="145"/>
      <c r="S557" s="154"/>
      <c r="T557" s="155"/>
      <c r="U557" s="144"/>
      <c r="V557" s="144"/>
    </row>
    <row r="558" spans="1:22" ht="14" x14ac:dyDescent="0.15">
      <c r="A558" s="144"/>
      <c r="B558" s="144"/>
      <c r="C558" s="145"/>
      <c r="D558" s="145"/>
      <c r="E558" s="148"/>
      <c r="F558" s="155"/>
      <c r="G558" s="144"/>
      <c r="H558" s="144"/>
      <c r="I558" s="144"/>
      <c r="J558" s="145"/>
      <c r="K558" s="145"/>
      <c r="L558" s="148"/>
      <c r="M558" s="155"/>
      <c r="N558" s="144"/>
      <c r="O558" s="144"/>
      <c r="P558" s="144"/>
      <c r="Q558" s="145"/>
      <c r="R558" s="145"/>
      <c r="S558" s="154"/>
      <c r="T558" s="155"/>
      <c r="U558" s="144"/>
      <c r="V558" s="144"/>
    </row>
    <row r="559" spans="1:22" ht="14" x14ac:dyDescent="0.15">
      <c r="A559" s="144"/>
      <c r="B559" s="144"/>
      <c r="C559" s="145"/>
      <c r="D559" s="145"/>
      <c r="E559" s="148"/>
      <c r="F559" s="155"/>
      <c r="G559" s="144"/>
      <c r="H559" s="144"/>
      <c r="I559" s="144"/>
      <c r="J559" s="145"/>
      <c r="K559" s="145"/>
      <c r="L559" s="148"/>
      <c r="M559" s="155"/>
      <c r="N559" s="144"/>
      <c r="O559" s="144"/>
      <c r="P559" s="144"/>
      <c r="Q559" s="145"/>
      <c r="R559" s="145"/>
      <c r="S559" s="154"/>
      <c r="T559" s="155"/>
      <c r="U559" s="144"/>
      <c r="V559" s="144"/>
    </row>
    <row r="560" spans="1:22" ht="14" x14ac:dyDescent="0.15">
      <c r="A560" s="144"/>
      <c r="B560" s="144"/>
      <c r="C560" s="145"/>
      <c r="D560" s="145"/>
      <c r="E560" s="148"/>
      <c r="F560" s="155"/>
      <c r="G560" s="144"/>
      <c r="H560" s="144"/>
      <c r="I560" s="144"/>
      <c r="J560" s="145"/>
      <c r="K560" s="145"/>
      <c r="L560" s="148"/>
      <c r="M560" s="155"/>
      <c r="N560" s="144"/>
      <c r="O560" s="144"/>
      <c r="P560" s="144"/>
      <c r="Q560" s="145"/>
      <c r="R560" s="145"/>
      <c r="S560" s="154"/>
      <c r="T560" s="155"/>
      <c r="U560" s="144"/>
      <c r="V560" s="144"/>
    </row>
    <row r="561" spans="1:22" ht="14" x14ac:dyDescent="0.15">
      <c r="A561" s="144"/>
      <c r="B561" s="144"/>
      <c r="C561" s="145"/>
      <c r="D561" s="145"/>
      <c r="E561" s="148"/>
      <c r="F561" s="155"/>
      <c r="G561" s="144"/>
      <c r="H561" s="144"/>
      <c r="I561" s="144"/>
      <c r="J561" s="145"/>
      <c r="K561" s="145"/>
      <c r="L561" s="148"/>
      <c r="M561" s="155"/>
      <c r="N561" s="144"/>
      <c r="O561" s="144"/>
      <c r="P561" s="144"/>
      <c r="Q561" s="145"/>
      <c r="R561" s="145"/>
      <c r="S561" s="154"/>
      <c r="T561" s="155"/>
      <c r="U561" s="144"/>
      <c r="V561" s="144"/>
    </row>
    <row r="562" spans="1:22" ht="14" x14ac:dyDescent="0.15">
      <c r="A562" s="144"/>
      <c r="B562" s="144"/>
      <c r="C562" s="145"/>
      <c r="D562" s="145"/>
      <c r="E562" s="148"/>
      <c r="F562" s="155"/>
      <c r="G562" s="144"/>
      <c r="H562" s="144"/>
      <c r="I562" s="144"/>
      <c r="J562" s="145"/>
      <c r="K562" s="145"/>
      <c r="L562" s="148"/>
      <c r="M562" s="155"/>
      <c r="N562" s="144"/>
      <c r="O562" s="144"/>
      <c r="P562" s="144"/>
      <c r="Q562" s="145"/>
      <c r="R562" s="145"/>
      <c r="S562" s="154"/>
      <c r="T562" s="155"/>
      <c r="U562" s="144"/>
      <c r="V562" s="144"/>
    </row>
    <row r="563" spans="1:22" ht="14" x14ac:dyDescent="0.15">
      <c r="A563" s="144"/>
      <c r="B563" s="144"/>
      <c r="C563" s="145"/>
      <c r="D563" s="145"/>
      <c r="E563" s="148"/>
      <c r="F563" s="155"/>
      <c r="G563" s="144"/>
      <c r="H563" s="144"/>
      <c r="I563" s="144"/>
      <c r="J563" s="145"/>
      <c r="K563" s="145"/>
      <c r="L563" s="148"/>
      <c r="M563" s="155"/>
      <c r="N563" s="144"/>
      <c r="O563" s="144"/>
      <c r="P563" s="144"/>
      <c r="Q563" s="145"/>
      <c r="R563" s="145"/>
      <c r="S563" s="154"/>
      <c r="T563" s="155"/>
      <c r="U563" s="144"/>
      <c r="V563" s="144"/>
    </row>
    <row r="564" spans="1:22" ht="14" x14ac:dyDescent="0.15">
      <c r="A564" s="144"/>
      <c r="B564" s="144"/>
      <c r="C564" s="145"/>
      <c r="D564" s="145"/>
      <c r="E564" s="148"/>
      <c r="F564" s="155"/>
      <c r="G564" s="144"/>
      <c r="H564" s="144"/>
      <c r="I564" s="144"/>
      <c r="J564" s="145"/>
      <c r="K564" s="145"/>
      <c r="L564" s="148"/>
      <c r="M564" s="155"/>
      <c r="N564" s="144"/>
      <c r="O564" s="144"/>
      <c r="P564" s="144"/>
      <c r="Q564" s="145"/>
      <c r="R564" s="145"/>
      <c r="S564" s="154"/>
      <c r="T564" s="155"/>
      <c r="U564" s="144"/>
      <c r="V564" s="144"/>
    </row>
    <row r="565" spans="1:22" ht="14" x14ac:dyDescent="0.15">
      <c r="A565" s="144"/>
      <c r="B565" s="144"/>
      <c r="C565" s="145"/>
      <c r="D565" s="145"/>
      <c r="E565" s="148"/>
      <c r="F565" s="155"/>
      <c r="G565" s="144"/>
      <c r="H565" s="144"/>
      <c r="I565" s="144"/>
      <c r="J565" s="145"/>
      <c r="K565" s="145"/>
      <c r="L565" s="148"/>
      <c r="M565" s="155"/>
      <c r="N565" s="144"/>
      <c r="O565" s="144"/>
      <c r="P565" s="144"/>
      <c r="Q565" s="145"/>
      <c r="R565" s="145"/>
      <c r="S565" s="154"/>
      <c r="T565" s="155"/>
      <c r="U565" s="144"/>
      <c r="V565" s="144"/>
    </row>
    <row r="566" spans="1:22" ht="14" x14ac:dyDescent="0.15">
      <c r="A566" s="144"/>
      <c r="B566" s="144"/>
      <c r="C566" s="145"/>
      <c r="D566" s="145"/>
      <c r="E566" s="148"/>
      <c r="F566" s="155"/>
      <c r="G566" s="144"/>
      <c r="H566" s="144"/>
      <c r="I566" s="144"/>
      <c r="J566" s="145"/>
      <c r="K566" s="145"/>
      <c r="L566" s="148"/>
      <c r="M566" s="155"/>
      <c r="N566" s="144"/>
      <c r="O566" s="144"/>
      <c r="P566" s="144"/>
      <c r="Q566" s="145"/>
      <c r="R566" s="145"/>
      <c r="S566" s="154"/>
      <c r="T566" s="155"/>
      <c r="U566" s="144"/>
      <c r="V566" s="144"/>
    </row>
    <row r="567" spans="1:22" ht="14" x14ac:dyDescent="0.15">
      <c r="A567" s="144"/>
      <c r="B567" s="144"/>
      <c r="C567" s="145"/>
      <c r="D567" s="145"/>
      <c r="E567" s="148"/>
      <c r="F567" s="155"/>
      <c r="G567" s="144"/>
      <c r="H567" s="144"/>
      <c r="I567" s="144"/>
      <c r="J567" s="145"/>
      <c r="K567" s="145"/>
      <c r="L567" s="148"/>
      <c r="M567" s="155"/>
      <c r="N567" s="144"/>
      <c r="O567" s="144"/>
      <c r="P567" s="144"/>
      <c r="Q567" s="145"/>
      <c r="R567" s="145"/>
      <c r="S567" s="154"/>
      <c r="T567" s="155"/>
      <c r="U567" s="144"/>
      <c r="V567" s="144"/>
    </row>
    <row r="568" spans="1:22" ht="14" x14ac:dyDescent="0.15">
      <c r="A568" s="144"/>
      <c r="B568" s="144"/>
      <c r="C568" s="145"/>
      <c r="D568" s="145"/>
      <c r="E568" s="148"/>
      <c r="F568" s="155"/>
      <c r="G568" s="144"/>
      <c r="H568" s="144"/>
      <c r="I568" s="144"/>
      <c r="J568" s="145"/>
      <c r="K568" s="145"/>
      <c r="L568" s="148"/>
      <c r="M568" s="155"/>
      <c r="N568" s="144"/>
      <c r="O568" s="144"/>
      <c r="P568" s="144"/>
      <c r="Q568" s="145"/>
      <c r="R568" s="145"/>
      <c r="S568" s="154"/>
      <c r="T568" s="155"/>
      <c r="U568" s="144"/>
      <c r="V568" s="144"/>
    </row>
    <row r="569" spans="1:22" ht="14" x14ac:dyDescent="0.15">
      <c r="A569" s="144"/>
      <c r="B569" s="144"/>
      <c r="C569" s="145"/>
      <c r="D569" s="145"/>
      <c r="E569" s="148"/>
      <c r="F569" s="155"/>
      <c r="G569" s="144"/>
      <c r="H569" s="144"/>
      <c r="I569" s="144"/>
      <c r="J569" s="145"/>
      <c r="K569" s="145"/>
      <c r="L569" s="148"/>
      <c r="M569" s="155"/>
      <c r="N569" s="144"/>
      <c r="O569" s="144"/>
      <c r="P569" s="144"/>
      <c r="Q569" s="145"/>
      <c r="R569" s="145"/>
      <c r="S569" s="154"/>
      <c r="T569" s="155"/>
      <c r="U569" s="144"/>
      <c r="V569" s="144"/>
    </row>
    <row r="570" spans="1:22" ht="14" x14ac:dyDescent="0.15">
      <c r="A570" s="144"/>
      <c r="B570" s="144"/>
      <c r="C570" s="145"/>
      <c r="D570" s="145"/>
      <c r="E570" s="148"/>
      <c r="F570" s="155"/>
      <c r="G570" s="144"/>
      <c r="H570" s="144"/>
      <c r="I570" s="144"/>
      <c r="J570" s="145"/>
      <c r="K570" s="145"/>
      <c r="L570" s="148"/>
      <c r="M570" s="155"/>
      <c r="N570" s="144"/>
      <c r="O570" s="144"/>
      <c r="P570" s="144"/>
      <c r="Q570" s="145"/>
      <c r="R570" s="145"/>
      <c r="S570" s="154"/>
      <c r="T570" s="155"/>
      <c r="U570" s="144"/>
      <c r="V570" s="144"/>
    </row>
    <row r="571" spans="1:22" ht="14" x14ac:dyDescent="0.15">
      <c r="A571" s="144"/>
      <c r="B571" s="144"/>
      <c r="C571" s="145"/>
      <c r="D571" s="145"/>
      <c r="E571" s="148"/>
      <c r="F571" s="155"/>
      <c r="G571" s="144"/>
      <c r="H571" s="144"/>
      <c r="I571" s="144"/>
      <c r="J571" s="145"/>
      <c r="K571" s="145"/>
      <c r="L571" s="148"/>
      <c r="M571" s="155"/>
      <c r="N571" s="144"/>
      <c r="O571" s="144"/>
      <c r="P571" s="144"/>
      <c r="Q571" s="145"/>
      <c r="R571" s="145"/>
      <c r="S571" s="154"/>
      <c r="T571" s="155"/>
      <c r="U571" s="144"/>
      <c r="V571" s="144"/>
    </row>
    <row r="572" spans="1:22" ht="14" x14ac:dyDescent="0.15">
      <c r="A572" s="144"/>
      <c r="B572" s="144"/>
      <c r="C572" s="145"/>
      <c r="D572" s="145"/>
      <c r="E572" s="148"/>
      <c r="F572" s="155"/>
      <c r="G572" s="144"/>
      <c r="H572" s="144"/>
      <c r="I572" s="144"/>
      <c r="J572" s="145"/>
      <c r="K572" s="145"/>
      <c r="L572" s="148"/>
      <c r="M572" s="155"/>
      <c r="N572" s="144"/>
      <c r="O572" s="144"/>
      <c r="P572" s="144"/>
      <c r="Q572" s="145"/>
      <c r="R572" s="145"/>
      <c r="S572" s="154"/>
      <c r="T572" s="155"/>
      <c r="U572" s="144"/>
      <c r="V572" s="144"/>
    </row>
    <row r="573" spans="1:22" ht="14" x14ac:dyDescent="0.15">
      <c r="A573" s="144"/>
      <c r="B573" s="144"/>
      <c r="C573" s="145"/>
      <c r="D573" s="145"/>
      <c r="E573" s="148"/>
      <c r="F573" s="155"/>
      <c r="G573" s="144"/>
      <c r="H573" s="144"/>
      <c r="I573" s="144"/>
      <c r="J573" s="145"/>
      <c r="K573" s="145"/>
      <c r="L573" s="148"/>
      <c r="M573" s="155"/>
      <c r="N573" s="144"/>
      <c r="O573" s="144"/>
      <c r="P573" s="144"/>
      <c r="Q573" s="145"/>
      <c r="R573" s="145"/>
      <c r="S573" s="154"/>
      <c r="T573" s="155"/>
      <c r="U573" s="144"/>
      <c r="V573" s="144"/>
    </row>
    <row r="574" spans="1:22" ht="14" x14ac:dyDescent="0.15">
      <c r="A574" s="144"/>
      <c r="B574" s="144"/>
      <c r="C574" s="145"/>
      <c r="D574" s="145"/>
      <c r="E574" s="148"/>
      <c r="F574" s="155"/>
      <c r="G574" s="144"/>
      <c r="H574" s="144"/>
      <c r="I574" s="144"/>
      <c r="J574" s="145"/>
      <c r="K574" s="145"/>
      <c r="L574" s="148"/>
      <c r="M574" s="155"/>
      <c r="N574" s="144"/>
      <c r="O574" s="144"/>
      <c r="P574" s="144"/>
      <c r="Q574" s="145"/>
      <c r="R574" s="145"/>
      <c r="S574" s="154"/>
      <c r="T574" s="155"/>
      <c r="U574" s="144"/>
      <c r="V574" s="144"/>
    </row>
    <row r="575" spans="1:22" ht="14" x14ac:dyDescent="0.15">
      <c r="A575" s="144"/>
      <c r="B575" s="144"/>
      <c r="C575" s="145"/>
      <c r="D575" s="145"/>
      <c r="E575" s="148"/>
      <c r="F575" s="155"/>
      <c r="G575" s="144"/>
      <c r="H575" s="144"/>
      <c r="I575" s="144"/>
      <c r="J575" s="145"/>
      <c r="K575" s="145"/>
      <c r="L575" s="148"/>
      <c r="M575" s="155"/>
      <c r="N575" s="144"/>
      <c r="O575" s="144"/>
      <c r="P575" s="144"/>
      <c r="Q575" s="145"/>
      <c r="R575" s="145"/>
      <c r="S575" s="154"/>
      <c r="T575" s="155"/>
      <c r="U575" s="144"/>
      <c r="V575" s="144"/>
    </row>
    <row r="576" spans="1:22" ht="14" x14ac:dyDescent="0.15">
      <c r="A576" s="144"/>
      <c r="B576" s="144"/>
      <c r="C576" s="145"/>
      <c r="D576" s="145"/>
      <c r="E576" s="148"/>
      <c r="F576" s="155"/>
      <c r="G576" s="144"/>
      <c r="H576" s="144"/>
      <c r="I576" s="144"/>
      <c r="J576" s="145"/>
      <c r="K576" s="145"/>
      <c r="L576" s="148"/>
      <c r="M576" s="155"/>
      <c r="N576" s="144"/>
      <c r="O576" s="144"/>
      <c r="P576" s="144"/>
      <c r="Q576" s="145"/>
      <c r="R576" s="145"/>
      <c r="S576" s="154"/>
      <c r="T576" s="155"/>
      <c r="U576" s="144"/>
      <c r="V576" s="144"/>
    </row>
    <row r="577" spans="1:22" ht="14" x14ac:dyDescent="0.15">
      <c r="A577" s="144"/>
      <c r="B577" s="144"/>
      <c r="C577" s="145"/>
      <c r="D577" s="145"/>
      <c r="E577" s="148"/>
      <c r="F577" s="155"/>
      <c r="G577" s="144"/>
      <c r="H577" s="144"/>
      <c r="I577" s="144"/>
      <c r="J577" s="145"/>
      <c r="K577" s="145"/>
      <c r="L577" s="148"/>
      <c r="M577" s="155"/>
      <c r="N577" s="144"/>
      <c r="O577" s="144"/>
      <c r="P577" s="144"/>
      <c r="Q577" s="145"/>
      <c r="R577" s="145"/>
      <c r="S577" s="154"/>
      <c r="T577" s="155"/>
      <c r="U577" s="144"/>
      <c r="V577" s="144"/>
    </row>
    <row r="578" spans="1:22" ht="14" x14ac:dyDescent="0.15">
      <c r="A578" s="144"/>
      <c r="B578" s="144"/>
      <c r="C578" s="145"/>
      <c r="D578" s="145"/>
      <c r="E578" s="148"/>
      <c r="F578" s="155"/>
      <c r="G578" s="144"/>
      <c r="H578" s="144"/>
      <c r="I578" s="144"/>
      <c r="J578" s="145"/>
      <c r="K578" s="145"/>
      <c r="L578" s="148"/>
      <c r="M578" s="155"/>
      <c r="N578" s="144"/>
      <c r="O578" s="144"/>
      <c r="P578" s="144"/>
      <c r="Q578" s="145"/>
      <c r="R578" s="145"/>
      <c r="S578" s="154"/>
      <c r="T578" s="155"/>
      <c r="U578" s="144"/>
      <c r="V578" s="144"/>
    </row>
    <row r="579" spans="1:22" ht="14" x14ac:dyDescent="0.15">
      <c r="A579" s="144"/>
      <c r="B579" s="144"/>
      <c r="C579" s="145"/>
      <c r="D579" s="145"/>
      <c r="E579" s="148"/>
      <c r="F579" s="155"/>
      <c r="G579" s="144"/>
      <c r="H579" s="144"/>
      <c r="I579" s="144"/>
      <c r="J579" s="145"/>
      <c r="K579" s="145"/>
      <c r="L579" s="148"/>
      <c r="M579" s="155"/>
      <c r="N579" s="144"/>
      <c r="O579" s="144"/>
      <c r="P579" s="144"/>
      <c r="Q579" s="145"/>
      <c r="R579" s="145"/>
      <c r="S579" s="154"/>
      <c r="T579" s="155"/>
      <c r="U579" s="144"/>
      <c r="V579" s="144"/>
    </row>
    <row r="580" spans="1:22" ht="14" x14ac:dyDescent="0.15">
      <c r="A580" s="144"/>
      <c r="B580" s="144"/>
      <c r="C580" s="145"/>
      <c r="D580" s="145"/>
      <c r="E580" s="148"/>
      <c r="F580" s="155"/>
      <c r="G580" s="144"/>
      <c r="H580" s="144"/>
      <c r="I580" s="144"/>
      <c r="J580" s="145"/>
      <c r="K580" s="145"/>
      <c r="L580" s="148"/>
      <c r="M580" s="155"/>
      <c r="N580" s="144"/>
      <c r="O580" s="144"/>
      <c r="P580" s="144"/>
      <c r="Q580" s="145"/>
      <c r="R580" s="145"/>
      <c r="S580" s="154"/>
      <c r="T580" s="155"/>
      <c r="U580" s="144"/>
      <c r="V580" s="144"/>
    </row>
    <row r="581" spans="1:22" ht="14" x14ac:dyDescent="0.15">
      <c r="A581" s="144"/>
      <c r="B581" s="144"/>
      <c r="C581" s="145"/>
      <c r="D581" s="145"/>
      <c r="E581" s="148"/>
      <c r="F581" s="155"/>
      <c r="G581" s="144"/>
      <c r="H581" s="144"/>
      <c r="I581" s="144"/>
      <c r="J581" s="145"/>
      <c r="K581" s="145"/>
      <c r="L581" s="148"/>
      <c r="M581" s="155"/>
      <c r="N581" s="144"/>
      <c r="O581" s="144"/>
      <c r="P581" s="144"/>
      <c r="Q581" s="145"/>
      <c r="R581" s="145"/>
      <c r="S581" s="154"/>
      <c r="T581" s="155"/>
      <c r="U581" s="144"/>
      <c r="V581" s="144"/>
    </row>
    <row r="582" spans="1:22" ht="14" x14ac:dyDescent="0.15">
      <c r="A582" s="144"/>
      <c r="B582" s="144"/>
      <c r="C582" s="145"/>
      <c r="D582" s="145"/>
      <c r="E582" s="148"/>
      <c r="F582" s="155"/>
      <c r="G582" s="144"/>
      <c r="H582" s="144"/>
      <c r="I582" s="144"/>
      <c r="J582" s="145"/>
      <c r="K582" s="145"/>
      <c r="L582" s="148"/>
      <c r="M582" s="155"/>
      <c r="N582" s="144"/>
      <c r="O582" s="144"/>
      <c r="P582" s="144"/>
      <c r="Q582" s="145"/>
      <c r="R582" s="145"/>
      <c r="S582" s="154"/>
      <c r="T582" s="155"/>
      <c r="U582" s="144"/>
      <c r="V582" s="144"/>
    </row>
    <row r="583" spans="1:22" ht="14" x14ac:dyDescent="0.15">
      <c r="A583" s="144"/>
      <c r="B583" s="144"/>
      <c r="C583" s="145"/>
      <c r="D583" s="145"/>
      <c r="E583" s="148"/>
      <c r="F583" s="155"/>
      <c r="G583" s="144"/>
      <c r="H583" s="144"/>
      <c r="I583" s="144"/>
      <c r="J583" s="145"/>
      <c r="K583" s="145"/>
      <c r="L583" s="148"/>
      <c r="M583" s="155"/>
      <c r="N583" s="144"/>
      <c r="O583" s="144"/>
      <c r="P583" s="144"/>
      <c r="Q583" s="145"/>
      <c r="R583" s="145"/>
      <c r="S583" s="154"/>
      <c r="T583" s="155"/>
      <c r="U583" s="144"/>
      <c r="V583" s="144"/>
    </row>
    <row r="584" spans="1:22" ht="14" x14ac:dyDescent="0.15">
      <c r="A584" s="144"/>
      <c r="B584" s="144"/>
      <c r="C584" s="145"/>
      <c r="D584" s="145"/>
      <c r="E584" s="148"/>
      <c r="F584" s="155"/>
      <c r="G584" s="144"/>
      <c r="H584" s="144"/>
      <c r="I584" s="144"/>
      <c r="J584" s="145"/>
      <c r="K584" s="145"/>
      <c r="L584" s="148"/>
      <c r="M584" s="155"/>
      <c r="N584" s="144"/>
      <c r="O584" s="144"/>
      <c r="P584" s="144"/>
      <c r="Q584" s="145"/>
      <c r="R584" s="145"/>
      <c r="S584" s="154"/>
      <c r="T584" s="155"/>
      <c r="U584" s="144"/>
      <c r="V584" s="144"/>
    </row>
    <row r="585" spans="1:22" ht="14" x14ac:dyDescent="0.15">
      <c r="A585" s="144"/>
      <c r="B585" s="144"/>
      <c r="C585" s="145"/>
      <c r="D585" s="145"/>
      <c r="E585" s="148"/>
      <c r="F585" s="155"/>
      <c r="G585" s="144"/>
      <c r="H585" s="144"/>
      <c r="I585" s="144"/>
      <c r="J585" s="145"/>
      <c r="K585" s="145"/>
      <c r="L585" s="148"/>
      <c r="M585" s="155"/>
      <c r="N585" s="144"/>
      <c r="O585" s="144"/>
      <c r="P585" s="144"/>
      <c r="Q585" s="145"/>
      <c r="R585" s="145"/>
      <c r="S585" s="154"/>
      <c r="T585" s="155"/>
      <c r="U585" s="144"/>
      <c r="V585" s="144"/>
    </row>
    <row r="586" spans="1:22" ht="14" x14ac:dyDescent="0.15">
      <c r="A586" s="144"/>
      <c r="B586" s="144"/>
      <c r="C586" s="145"/>
      <c r="D586" s="145"/>
      <c r="E586" s="148"/>
      <c r="F586" s="155"/>
      <c r="G586" s="144"/>
      <c r="H586" s="144"/>
      <c r="I586" s="144"/>
      <c r="J586" s="145"/>
      <c r="K586" s="145"/>
      <c r="L586" s="148"/>
      <c r="M586" s="155"/>
      <c r="N586" s="144"/>
      <c r="O586" s="144"/>
      <c r="P586" s="144"/>
      <c r="Q586" s="145"/>
      <c r="R586" s="145"/>
      <c r="S586" s="154"/>
      <c r="T586" s="155"/>
      <c r="U586" s="144"/>
      <c r="V586" s="144"/>
    </row>
    <row r="587" spans="1:22" ht="14" x14ac:dyDescent="0.15">
      <c r="A587" s="144"/>
      <c r="B587" s="144"/>
      <c r="C587" s="145"/>
      <c r="D587" s="145"/>
      <c r="E587" s="148"/>
      <c r="F587" s="155"/>
      <c r="G587" s="144"/>
      <c r="H587" s="144"/>
      <c r="I587" s="144"/>
      <c r="J587" s="145"/>
      <c r="K587" s="145"/>
      <c r="L587" s="148"/>
      <c r="M587" s="155"/>
      <c r="N587" s="144"/>
      <c r="O587" s="144"/>
      <c r="P587" s="144"/>
      <c r="Q587" s="145"/>
      <c r="R587" s="145"/>
      <c r="S587" s="154"/>
      <c r="T587" s="155"/>
      <c r="U587" s="144"/>
      <c r="V587" s="144"/>
    </row>
    <row r="588" spans="1:22" ht="14" x14ac:dyDescent="0.15">
      <c r="A588" s="144"/>
      <c r="B588" s="144"/>
      <c r="C588" s="145"/>
      <c r="D588" s="145"/>
      <c r="E588" s="148"/>
      <c r="F588" s="155"/>
      <c r="G588" s="144"/>
      <c r="H588" s="144"/>
      <c r="I588" s="144"/>
      <c r="J588" s="145"/>
      <c r="K588" s="145"/>
      <c r="L588" s="148"/>
      <c r="M588" s="155"/>
      <c r="N588" s="144"/>
      <c r="O588" s="144"/>
      <c r="P588" s="144"/>
      <c r="Q588" s="145"/>
      <c r="R588" s="145"/>
      <c r="S588" s="154"/>
      <c r="T588" s="155"/>
      <c r="U588" s="144"/>
      <c r="V588" s="144"/>
    </row>
    <row r="589" spans="1:22" ht="14" x14ac:dyDescent="0.15">
      <c r="A589" s="144"/>
      <c r="B589" s="144"/>
      <c r="C589" s="145"/>
      <c r="D589" s="145"/>
      <c r="E589" s="148"/>
      <c r="F589" s="155"/>
      <c r="G589" s="144"/>
      <c r="H589" s="144"/>
      <c r="I589" s="144"/>
      <c r="J589" s="145"/>
      <c r="K589" s="145"/>
      <c r="L589" s="148"/>
      <c r="M589" s="155"/>
      <c r="N589" s="144"/>
      <c r="O589" s="144"/>
      <c r="P589" s="144"/>
      <c r="Q589" s="145"/>
      <c r="R589" s="145"/>
      <c r="S589" s="154"/>
      <c r="T589" s="155"/>
      <c r="U589" s="144"/>
      <c r="V589" s="144"/>
    </row>
    <row r="590" spans="1:22" ht="14" x14ac:dyDescent="0.15">
      <c r="A590" s="144"/>
      <c r="B590" s="144"/>
      <c r="C590" s="145"/>
      <c r="D590" s="145"/>
      <c r="E590" s="148"/>
      <c r="F590" s="155"/>
      <c r="G590" s="144"/>
      <c r="H590" s="144"/>
      <c r="I590" s="144"/>
      <c r="J590" s="145"/>
      <c r="K590" s="145"/>
      <c r="L590" s="148"/>
      <c r="M590" s="155"/>
      <c r="N590" s="144"/>
      <c r="O590" s="144"/>
      <c r="P590" s="144"/>
      <c r="Q590" s="145"/>
      <c r="R590" s="145"/>
      <c r="S590" s="154"/>
      <c r="T590" s="155"/>
      <c r="U590" s="144"/>
      <c r="V590" s="144"/>
    </row>
    <row r="591" spans="1:22" ht="14" x14ac:dyDescent="0.15">
      <c r="A591" s="144"/>
      <c r="B591" s="144"/>
      <c r="C591" s="145"/>
      <c r="D591" s="145"/>
      <c r="E591" s="148"/>
      <c r="F591" s="155"/>
      <c r="G591" s="144"/>
      <c r="H591" s="144"/>
      <c r="I591" s="144"/>
      <c r="J591" s="145"/>
      <c r="K591" s="145"/>
      <c r="L591" s="148"/>
      <c r="M591" s="155"/>
      <c r="N591" s="144"/>
      <c r="O591" s="144"/>
      <c r="P591" s="144"/>
      <c r="Q591" s="145"/>
      <c r="R591" s="145"/>
      <c r="S591" s="154"/>
      <c r="T591" s="155"/>
      <c r="U591" s="144"/>
      <c r="V591" s="144"/>
    </row>
    <row r="592" spans="1:22" ht="14" x14ac:dyDescent="0.15">
      <c r="A592" s="144"/>
      <c r="B592" s="144"/>
      <c r="C592" s="145"/>
      <c r="D592" s="145"/>
      <c r="E592" s="148"/>
      <c r="F592" s="155"/>
      <c r="G592" s="144"/>
      <c r="H592" s="144"/>
      <c r="I592" s="144"/>
      <c r="J592" s="145"/>
      <c r="K592" s="145"/>
      <c r="L592" s="148"/>
      <c r="M592" s="155"/>
      <c r="N592" s="144"/>
      <c r="O592" s="144"/>
      <c r="P592" s="144"/>
      <c r="Q592" s="145"/>
      <c r="R592" s="145"/>
      <c r="S592" s="154"/>
      <c r="T592" s="155"/>
      <c r="U592" s="144"/>
      <c r="V592" s="144"/>
    </row>
    <row r="593" spans="1:22" ht="14" x14ac:dyDescent="0.15">
      <c r="A593" s="144"/>
      <c r="B593" s="144"/>
      <c r="C593" s="145"/>
      <c r="D593" s="145"/>
      <c r="E593" s="148"/>
      <c r="F593" s="155"/>
      <c r="G593" s="144"/>
      <c r="H593" s="144"/>
      <c r="I593" s="144"/>
      <c r="J593" s="145"/>
      <c r="K593" s="145"/>
      <c r="L593" s="148"/>
      <c r="M593" s="155"/>
      <c r="N593" s="144"/>
      <c r="O593" s="144"/>
      <c r="P593" s="144"/>
      <c r="Q593" s="145"/>
      <c r="R593" s="145"/>
      <c r="S593" s="154"/>
      <c r="T593" s="155"/>
      <c r="U593" s="144"/>
      <c r="V593" s="144"/>
    </row>
    <row r="594" spans="1:22" ht="14" x14ac:dyDescent="0.15">
      <c r="A594" s="144"/>
      <c r="B594" s="144"/>
      <c r="C594" s="145"/>
      <c r="D594" s="145"/>
      <c r="E594" s="148"/>
      <c r="F594" s="155"/>
      <c r="G594" s="144"/>
      <c r="H594" s="144"/>
      <c r="I594" s="144"/>
      <c r="J594" s="145"/>
      <c r="K594" s="145"/>
      <c r="L594" s="148"/>
      <c r="M594" s="155"/>
      <c r="N594" s="144"/>
      <c r="O594" s="144"/>
      <c r="P594" s="144"/>
      <c r="Q594" s="145"/>
      <c r="R594" s="145"/>
      <c r="S594" s="154"/>
      <c r="T594" s="155"/>
      <c r="U594" s="144"/>
      <c r="V594" s="144"/>
    </row>
    <row r="595" spans="1:22" ht="14" x14ac:dyDescent="0.15">
      <c r="A595" s="144"/>
      <c r="B595" s="144"/>
      <c r="C595" s="145"/>
      <c r="D595" s="145"/>
      <c r="E595" s="148"/>
      <c r="F595" s="155"/>
      <c r="G595" s="144"/>
      <c r="H595" s="144"/>
      <c r="I595" s="144"/>
      <c r="J595" s="145"/>
      <c r="K595" s="145"/>
      <c r="L595" s="148"/>
      <c r="M595" s="155"/>
      <c r="N595" s="144"/>
      <c r="O595" s="144"/>
      <c r="P595" s="144"/>
      <c r="Q595" s="145"/>
      <c r="R595" s="145"/>
      <c r="S595" s="154"/>
      <c r="T595" s="155"/>
      <c r="U595" s="144"/>
      <c r="V595" s="144"/>
    </row>
    <row r="596" spans="1:22" ht="14" x14ac:dyDescent="0.15">
      <c r="A596" s="144"/>
      <c r="B596" s="144"/>
      <c r="C596" s="145"/>
      <c r="D596" s="145"/>
      <c r="E596" s="148"/>
      <c r="F596" s="155"/>
      <c r="G596" s="144"/>
      <c r="H596" s="144"/>
      <c r="I596" s="144"/>
      <c r="J596" s="145"/>
      <c r="K596" s="145"/>
      <c r="L596" s="148"/>
      <c r="M596" s="155"/>
      <c r="N596" s="144"/>
      <c r="O596" s="144"/>
      <c r="P596" s="144"/>
      <c r="Q596" s="145"/>
      <c r="R596" s="145"/>
      <c r="S596" s="154"/>
      <c r="T596" s="155"/>
      <c r="U596" s="144"/>
      <c r="V596" s="144"/>
    </row>
  </sheetData>
  <mergeCells count="9">
    <mergeCell ref="Q2:T2"/>
    <mergeCell ref="Q3:T3"/>
    <mergeCell ref="C1:F1"/>
    <mergeCell ref="J1:M1"/>
    <mergeCell ref="Q1:T1"/>
    <mergeCell ref="C2:F2"/>
    <mergeCell ref="J2:M2"/>
    <mergeCell ref="C3:F3"/>
    <mergeCell ref="J3:M3"/>
  </mergeCells>
  <hyperlinks>
    <hyperlink ref="E5" r:id="rId1" display="http://www.linkedin.com/learning/business-analytics-forecasting-with-exponential-smoothing" xr:uid="{00000000-0004-0000-0800-000000000000}"/>
    <hyperlink ref="F5" r:id="rId2" display="https://www.linkedin.com/learning/paths/become-a-bookkeeper" xr:uid="{00000000-0004-0000-0800-000001000000}"/>
    <hyperlink ref="L5" r:id="rId3" display="https://www.linkedin.com/learning/employee-engagement/define-engagement" xr:uid="{00000000-0004-0000-0800-000002000000}"/>
    <hyperlink ref="M5" r:id="rId4" display="https://www.linkedin.com/learning/paths/become-a-corporate-recruiter" xr:uid="{00000000-0004-0000-0800-000003000000}"/>
    <hyperlink ref="S5" r:id="rId5" display="https://www.linkedin.com/learning/penetration-testing-advanced-web-testing" xr:uid="{00000000-0004-0000-0800-000004000000}"/>
    <hyperlink ref="T5" r:id="rId6" display="https://www.linkedin.com/learning/paths/advance-your-skills-as-an-azure-it-administrator" xr:uid="{00000000-0004-0000-0800-000005000000}"/>
    <hyperlink ref="E6" r:id="rId7" display="http://www.linkedin.com/learning/business-analytics-forecasting-with-seasonal-baseline-smoothing" xr:uid="{00000000-0004-0000-0800-000006000000}"/>
    <hyperlink ref="F6" r:id="rId8" display="https://www.linkedin.com/learning/paths/become-a-corporate-financial-planning-analyst" xr:uid="{00000000-0004-0000-0800-000007000000}"/>
    <hyperlink ref="L6" r:id="rId9" display="https://www.linkedin.com/learning/hiring-and-developing-your-future-workforce/make-human-resources-a-partner" xr:uid="{00000000-0004-0000-0800-000008000000}"/>
    <hyperlink ref="M6" r:id="rId10" display="https://www.linkedin.com/learning/paths/become-a-technical-recruiter" xr:uid="{00000000-0004-0000-0800-000009000000}"/>
    <hyperlink ref="S6" r:id="rId11" display="https://www.linkedin.com/learning/cissp-cert-prep-5-identity-and-access-management-2" xr:uid="{00000000-0004-0000-0800-00000A000000}"/>
    <hyperlink ref="T6" r:id="rId12" display="https://www.linkedin.com/learning/paths/advance-your-skills-as-an-it-help-desk-specialist?u=104" xr:uid="{00000000-0004-0000-0800-00000B000000}"/>
    <hyperlink ref="E7" r:id="rId13" display="http://www.linkedin.com/learning/business-intelligence-for-consultants" xr:uid="{00000000-0004-0000-0800-00000C000000}"/>
    <hyperlink ref="F7" r:id="rId14" display="https://www.linkedin.com/learning/paths/become-a-financial-analyst" xr:uid="{00000000-0004-0000-0800-00000D000000}"/>
    <hyperlink ref="L7" r:id="rId15" display="https://www.linkedin.com/learning/human-resources-building-a-performance-management-system" xr:uid="{00000000-0004-0000-0800-00000E000000}"/>
    <hyperlink ref="M7" r:id="rId16" display="https://www.linkedin.com/learning/paths/become-an-external-recruiter" xr:uid="{00000000-0004-0000-0800-00000F000000}"/>
    <hyperlink ref="S7" r:id="rId17" display="https://www.linkedin.com/learning/machine-learning-ai-advanced-decision-trees" xr:uid="{00000000-0004-0000-0800-000010000000}"/>
    <hyperlink ref="T7" r:id="rId18" display="https://www.linkedin.com/learning/paths/advance-your-skills-in-ai-and-machine-learning" xr:uid="{00000000-0004-0000-0800-000011000000}"/>
    <hyperlink ref="E8" r:id="rId19" display="https://www.linkedin.com/learning/accounting-foundations-asset-impairment" xr:uid="{00000000-0004-0000-0800-000012000000}"/>
    <hyperlink ref="F8" r:id="rId20" display="https://www.linkedin.com/learning/paths/become-a-small-business-owner" xr:uid="{00000000-0004-0000-0800-000013000000}"/>
    <hyperlink ref="L8" r:id="rId21" display="https://www.linkedin.com/learning/human-resources-leadership-and-strategic-impact/efficiency-effectiveness-and-impact" xr:uid="{00000000-0004-0000-0800-000014000000}"/>
    <hyperlink ref="M8" r:id="rId22" display="https://www.linkedin.com/learning/paths/become-an-hr-business-partner" xr:uid="{00000000-0004-0000-0800-000015000000}"/>
    <hyperlink ref="S8" r:id="rId23" display="https://www.linkedin.com/learning/advanced-nlp-with-python-for-machine-learning" xr:uid="{00000000-0004-0000-0800-000016000000}"/>
    <hyperlink ref="T8" r:id="rId24" display="https://www.linkedin.com/learning/paths/advance-your-skills-in-deep-learning-and-neural-networks" xr:uid="{00000000-0004-0000-0800-000017000000}"/>
    <hyperlink ref="E9" r:id="rId25" display="https://www.linkedin.com/learning/the-five-step-guide-to-mastering-your-money" xr:uid="{00000000-0004-0000-0800-000018000000}"/>
    <hyperlink ref="F9" r:id="rId26" display="https://www.linkedin.com/learning/paths/become-an-accounts-payable-officer-2" xr:uid="{00000000-0004-0000-0800-000019000000}"/>
    <hyperlink ref="L9" r:id="rId27" display="https://www.linkedin.com/learning/human-resources-selecting-an-hr-system" xr:uid="{00000000-0004-0000-0800-00001A000000}"/>
    <hyperlink ref="M9" r:id="rId28" display="https://www.linkedin.com/learning/paths/develop-your-hr-management-and-leadership-skills" xr:uid="{00000000-0004-0000-0800-00001B000000}"/>
    <hyperlink ref="S9" r:id="rId29" display="https://www.linkedin.com/learning/microsoft-power-apps-ai-builder" xr:uid="{00000000-0004-0000-0800-00001C000000}"/>
    <hyperlink ref="T9" r:id="rId30" display="https://www.linkedin.com/learning/paths/applying-lean-devops-and-agile-to-your-it-organization?u=104" xr:uid="{00000000-0004-0000-0800-00001D000000}"/>
    <hyperlink ref="E10" r:id="rId31" display="https://www.linkedin.com/learning/financial-adulting" xr:uid="{00000000-0004-0000-0800-00001E000000}"/>
    <hyperlink ref="F10" r:id="rId32" display="https://www.linkedin.com/learning/paths/develop-your-finance-and-accounting-skills" xr:uid="{00000000-0004-0000-0800-00001F000000}"/>
    <hyperlink ref="L10" r:id="rId33" display="https://www.linkedin.com/learning/human-resources-strategic-workforce-planning" xr:uid="{00000000-0004-0000-0800-000020000000}"/>
    <hyperlink ref="M10" r:id="rId34" display="https://www.linkedin.com/learning/paths/stay-ahead-in-all-things-dibs" xr:uid="{00000000-0004-0000-0800-000021000000}"/>
    <hyperlink ref="S10" r:id="rId35" display="https://www.linkedin.com/learning/learning-system-center-configuration-manager-2" xr:uid="{00000000-0004-0000-0800-000022000000}"/>
    <hyperlink ref="T10" r:id="rId36" display="https://www.linkedin.com/learning/paths/become-a-c-plus-plus-developer" xr:uid="{00000000-0004-0000-0800-000023000000}"/>
    <hyperlink ref="E11" r:id="rId37" display="https://www.linkedin.com/learning/sap-erp-essential-training,https:/www.linkedin.com/learning/sap-erp-essential-training-2,https:/www.linkedin.com/learning/sap-erp-essential-training-2020-revision" xr:uid="{00000000-0004-0000-0800-000024000000}"/>
    <hyperlink ref="F11" r:id="rId38" display="https://www.linkedin.com/learning/paths/get-ahead-in-the-on-demand-gig-economy" xr:uid="{00000000-0004-0000-0800-000025000000}"/>
    <hyperlink ref="L11" r:id="rId39" display="https://www.linkedin.com/learning/human-resources-understanding-hr-systems-features-and-benefits" xr:uid="{00000000-0004-0000-0800-000026000000}"/>
    <hyperlink ref="M11" r:id="rId40" display="https://www.linkedin.com/learning/paths/finding-and-retaining-talent" xr:uid="{00000000-0004-0000-0800-000027000000}"/>
    <hyperlink ref="S11" r:id="rId41" display="https://www.linkedin.com/learning/learning-java-applications-2" xr:uid="{00000000-0004-0000-0800-000028000000}"/>
    <hyperlink ref="T11" r:id="rId42" display="https://www.linkedin.com/learning/paths/become-a-cloud-administrator" xr:uid="{00000000-0004-0000-0800-000029000000}"/>
    <hyperlink ref="E12" r:id="rId43" display="https://www.linkedin.com/learning/accounting-foundations-2" xr:uid="{00000000-0004-0000-0800-00002A000000}"/>
    <hyperlink ref="F12" r:id="rId44" display="https://www.linkedin.com/learning/paths/stay-ahead-in-personal-finance" xr:uid="{00000000-0004-0000-0800-00002B000000}"/>
    <hyperlink ref="L12" r:id="rId45" display="https://www.linkedin.com/learning/people-analytics" xr:uid="{00000000-0004-0000-0800-00002C000000}"/>
    <hyperlink ref="S12" r:id="rId46" display="https://www.linkedin.com/learning/test-automation-foundations" xr:uid="{00000000-0004-0000-0800-00002D000000}"/>
    <hyperlink ref="T12" r:id="rId47" display="https://www.linkedin.com/learning/paths/become-a-python-developer" xr:uid="{00000000-0004-0000-0800-00002E000000}"/>
    <hyperlink ref="E13" r:id="rId48" display="https://www.linkedin.com/learning/accounting-foundations-bookkeeping-2" xr:uid="{00000000-0004-0000-0800-00002F000000}"/>
    <hyperlink ref="L13" r:id="rId49" display="https://www.linkedin.com/learning/succession-planning" xr:uid="{00000000-0004-0000-0800-000030000000}"/>
    <hyperlink ref="S13" r:id="rId50" display="https://www.linkedin.com/learning/managing-globally/what-is-cultural-agility" xr:uid="{00000000-0004-0000-0800-000031000000}"/>
    <hyperlink ref="T13" r:id="rId51" display="https://www.linkedin.com/learning/paths/master-the-fundamentals-of-ai-and-machine-learning?u=104" xr:uid="{00000000-0004-0000-0800-000032000000}"/>
    <hyperlink ref="E14" r:id="rId52" display="https://www.linkedin.com/learning/accounting-foundations-budgeting-2" xr:uid="{00000000-0004-0000-0800-000033000000}"/>
    <hyperlink ref="L14" r:id="rId53" display="https://www.linkedin.com/learning/using-neuroscience-for-more-effective-l-d" xr:uid="{00000000-0004-0000-0800-000034000000}"/>
    <hyperlink ref="S14" r:id="rId54" display="https://www.linkedin.com/learning/learning-cloud-computing-core-concepts-2019-revision" xr:uid="{00000000-0004-0000-0800-000035000000}"/>
    <hyperlink ref="T14" r:id="rId55" display="https://www.linkedin.com/learning/paths/become-an-aws-data-and-devops-specialist" xr:uid="{00000000-0004-0000-0800-000036000000}"/>
    <hyperlink ref="E15" r:id="rId56" display="https://www.linkedin.com/learning/audit-and-due-diligence-foundations" xr:uid="{00000000-0004-0000-0800-000037000000}"/>
    <hyperlink ref="L15" r:id="rId57" display="https://www.linkedin.com/learning/human-resources-pay-strategy-2020" xr:uid="{00000000-0004-0000-0800-000038000000}"/>
    <hyperlink ref="S15" r:id="rId58" display="https://www.linkedin.com/learning/aws-administration-tips-and-tricks" xr:uid="{00000000-0004-0000-0800-000039000000}"/>
    <hyperlink ref="T15" r:id="rId59" display="https://www.linkedin.com/learning/paths/become-an-it-security-specialist" xr:uid="{00000000-0004-0000-0800-00003A000000}"/>
    <hyperlink ref="E16" r:id="rId60" display="https://www.linkedin.com/learning/business-tax-foundations" xr:uid="{00000000-0004-0000-0800-00003B000000}"/>
    <hyperlink ref="L16" r:id="rId61" display="https://www.linkedin.com/learning/crisis-communication-for-hr" xr:uid="{00000000-0004-0000-0800-00003C000000}"/>
    <hyperlink ref="S16" r:id="rId62" display="https://www.linkedin.com/learning/applied-machine-learning-algorithms" xr:uid="{00000000-0004-0000-0800-00003D000000}"/>
    <hyperlink ref="T16" r:id="rId63" display="https://www.linkedin.com/learning/paths/become-an-it-support-technician?u=104" xr:uid="{00000000-0004-0000-0800-00003E000000}"/>
    <hyperlink ref="E17" r:id="rId64" display="https://www.linkedin.com/learning/finance-foundations-2/the-essence-of-finance?" xr:uid="{00000000-0004-0000-0800-00003F000000}"/>
    <hyperlink ref="L17" r:id="rId65" display="https://www.linkedin.com/learning/redefining-workplace-learning-analytics" xr:uid="{00000000-0004-0000-0800-000040000000}"/>
    <hyperlink ref="S17" r:id="rId66" display="https://www.linkedin.com/learning/artificial-intelligence-foundations-neural-networks" xr:uid="{00000000-0004-0000-0800-000041000000}"/>
    <hyperlink ref="T17" r:id="rId67" display="https://www.linkedin.com/learning/paths/get-ahead-in-ios-app-development" xr:uid="{00000000-0004-0000-0800-000042000000}"/>
    <hyperlink ref="E18" r:id="rId68" display="https://www.linkedin.com/learning/finance-foundations-income-taxes-2" xr:uid="{00000000-0004-0000-0800-000043000000}"/>
    <hyperlink ref="L18" r:id="rId69" display="https://www.linkedin.com/learning/privacy-in-the-age-of-covid-19" xr:uid="{00000000-0004-0000-0800-000044000000}"/>
    <hyperlink ref="S18" r:id="rId70" display="https://www.linkedin.com/learning/artificial-intelligence-foundations-machine-learning" xr:uid="{00000000-0004-0000-0800-000045000000}"/>
    <hyperlink ref="T18" r:id="rId71" display="https://www.linkedin.com/learning/paths/improve-your-itil-skills?u=104" xr:uid="{00000000-0004-0000-0800-000046000000}"/>
    <hyperlink ref="E19" r:id="rId72" display="https://www.linkedin.com/learning/running-a-profitable-business-understanding-cash-flow" xr:uid="{00000000-0004-0000-0800-000047000000}"/>
    <hyperlink ref="L19" r:id="rId73" display="https://www.linkedin.com/learning/handling-workplace-bullying" xr:uid="{00000000-0004-0000-0800-000048000000}"/>
    <hyperlink ref="Q19" r:id="rId74" display="https://www.linkedin.com/learning/managing-globally/what-is-cultural-agility" xr:uid="{00000000-0004-0000-0800-000049000000}"/>
    <hyperlink ref="R19" r:id="rId75" display="https://www.linkedin.com/learning/managing-globally/what-is-cultural-agility" xr:uid="{00000000-0004-0000-0800-00004A000000}"/>
    <hyperlink ref="S19" r:id="rId76" display="https://www.linkedin.com/learning/artificial-intelligence-foundations-thinking-machines" xr:uid="{00000000-0004-0000-0800-00004B000000}"/>
    <hyperlink ref="T19" r:id="rId77" display="https://www.linkedin.com/learning/paths/master-cloud-native-infrastructure-with-kubernetes" xr:uid="{00000000-0004-0000-0800-00004C000000}"/>
    <hyperlink ref="E20" r:id="rId78" display="https://www.linkedin.com/learning/running-a-profitable-business-understanding-financial-ratios" xr:uid="{00000000-0004-0000-0800-00004D000000}"/>
    <hyperlink ref="L20" r:id="rId79" display="https://www.linkedin.com/learning/how-to-design-and-deliver-training-programs" xr:uid="{00000000-0004-0000-0800-00004E000000}"/>
    <hyperlink ref="S20" r:id="rId80" display="https://www.linkedin.com/learning/machine-learning-in-mobile-applications" xr:uid="{00000000-0004-0000-0800-00004F000000}"/>
    <hyperlink ref="E21" r:id="rId81" display="https://www.linkedin.com/learning/the-data-science-of-economics-banking-and-finance-with-barton-poulson" xr:uid="{00000000-0004-0000-0800-000050000000}"/>
    <hyperlink ref="L21" r:id="rId82" display="https://www.linkedin.com/learning/human-resources-foundations" xr:uid="{00000000-0004-0000-0800-000051000000}"/>
    <hyperlink ref="S21" r:id="rId83" display="https://www.linkedin.com/learning/machine-learning-and-ai-foundations-predictive-modeling-strategy-at-scale" xr:uid="{00000000-0004-0000-0800-000052000000}"/>
    <hyperlink ref="E22" r:id="rId84" display="https://www.linkedin.com/learning/teaching-your-kids-about-finance" xr:uid="{00000000-0004-0000-0800-000053000000}"/>
    <hyperlink ref="L22" r:id="rId85" display="https://www.linkedin.com/learning/human-resources-protecting-confidentiality" xr:uid="{00000000-0004-0000-0800-000054000000}"/>
    <hyperlink ref="S22" r:id="rId86" display="https://www.linkedin.com/learning/learning-powerapps-2019" xr:uid="{00000000-0004-0000-0800-000055000000}"/>
    <hyperlink ref="E23" r:id="rId87" display="https://www.linkedin.com/learning/finance-foundations-for-solopreneurs" xr:uid="{00000000-0004-0000-0800-000056000000}"/>
    <hyperlink ref="L23" r:id="rId88" display="https://www.linkedin.com/learning/organizational-culture/welcome" xr:uid="{00000000-0004-0000-0800-000057000000}"/>
    <hyperlink ref="S23" r:id="rId89" display="https://www.linkedin.com/learning/introducing-ai-to-your-organization" xr:uid="{00000000-0004-0000-0800-000058000000}"/>
    <hyperlink ref="E24" r:id="rId90" display="https://www.linkedin.com/learning/understanding-capital-markets" xr:uid="{00000000-0004-0000-0800-000059000000}"/>
    <hyperlink ref="L24" r:id="rId91" display="https://www.linkedin.com/learning/teaching-civility-in-the-workplace" xr:uid="{00000000-0004-0000-0800-00005A000000}"/>
    <hyperlink ref="S24" r:id="rId92" display="https://www.linkedin.com/learning/succeeding-in-web-development-full-stack-and-front-end" xr:uid="{00000000-0004-0000-0800-00005B000000}"/>
    <hyperlink ref="E25" r:id="rId93" display="https://www.linkedin.com/learning/quickbooks-online-essential-training" xr:uid="{00000000-0004-0000-0800-00005C000000}"/>
    <hyperlink ref="L25" r:id="rId94" display="https://www.linkedin.com/learning/women-transforming-tech-finding-sponsors" xr:uid="{00000000-0004-0000-0800-00005D000000}"/>
    <hyperlink ref="S25" r:id="rId95" display="https://www.linkedin.com/learning/software-development-life-cycle-sdlc" xr:uid="{00000000-0004-0000-0800-00005E000000}"/>
    <hyperlink ref="E26" r:id="rId96" display="http://www.linkedin.com/learning/quickbooks-pro-2019-essential-training" xr:uid="{00000000-0004-0000-0800-00005F000000}"/>
    <hyperlink ref="L26" r:id="rId97" display="https://www.linkedin.com/learning/connecting-with-your-millennial-manager" xr:uid="{00000000-0004-0000-0800-000060000000}"/>
    <hyperlink ref="S26" r:id="rId98" display="https://www.linkedin.com/learning/working-and-collaborating-online" xr:uid="{00000000-0004-0000-0800-000061000000}"/>
    <hyperlink ref="E27" r:id="rId99" display="https://www.linkedin.com/learning/accounting-for-managers" xr:uid="{00000000-0004-0000-0800-000062000000}"/>
    <hyperlink ref="L27" r:id="rId100" display="https://www.linkedin.com/learning/onboarding-new-hires-as-a-manager-2019" xr:uid="{00000000-0004-0000-0800-000063000000}"/>
    <hyperlink ref="S27" r:id="rId101" display="https://www.linkedin.com/learning/working-with-computers-and-devices" xr:uid="{00000000-0004-0000-0800-000064000000}"/>
    <hyperlink ref="E28" r:id="rId102" display="https://www.linkedin.com/learning/how-to-analyze-a-wholesale-deal-in-real-estate" xr:uid="{00000000-0004-0000-0800-000065000000}"/>
    <hyperlink ref="L28" r:id="rId103" display="https://www.linkedin.com/learning/introduction-to-employee-relations-cipd-aligned" xr:uid="{00000000-0004-0000-0800-000066000000}"/>
    <hyperlink ref="S28" r:id="rId104" display="https://www.linkedin.com/learning/foundations-of-enterprise-content-management,https:/www.linkedin.com/learning/foundations-of-enterprise-content-management-2,https:/www.linkedin.com/learning/foundations-of-enterprise-content-management-2020" xr:uid="{00000000-0004-0000-0800-000067000000}"/>
    <hyperlink ref="E29" r:id="rId105" display="http://www.linkedin.com/learning/consulting-foundations" xr:uid="{00000000-0004-0000-0800-000068000000}"/>
    <hyperlink ref="L29" r:id="rId106" display="https://www.linkedin.com/learning/learning-microsoft-dynamics-talent-2019" xr:uid="{00000000-0004-0000-0800-000069000000}"/>
    <hyperlink ref="S29" r:id="rId107" display="https://www.linkedin.com/learning/getting-started-with-live-streaming" xr:uid="{00000000-0004-0000-0800-00006A000000}"/>
    <hyperlink ref="E30" r:id="rId108" display="http://www.linkedin.com/learning/financial-accounting-part-2" xr:uid="{00000000-0004-0000-0800-00006B000000}"/>
    <hyperlink ref="L30" r:id="rId109" display="https://www.linkedin.com/learning/empathy-tips-for-hr-professionals" xr:uid="{00000000-0004-0000-0800-00006C000000}"/>
    <hyperlink ref="S30" r:id="rId110" display="https://www.linkedin.com/learning/comptia-security-plus-sy0-601-cert-prep-8-network-security-design-and-implementation" xr:uid="{00000000-0004-0000-0800-00006D000000}"/>
    <hyperlink ref="E31" r:id="rId111" display="https://www.linkedin.com/learning/finance-foundations-risk-management" xr:uid="{00000000-0004-0000-0800-00006E000000}"/>
    <hyperlink ref="L31" r:id="rId112" display="https://www.linkedin.com/learning/hr-guidelines-everyone-should-know" xr:uid="{00000000-0004-0000-0800-00006F000000}"/>
    <hyperlink ref="S31" r:id="rId113" display="https://www.linkedin.com/learning/agile-testing-2" xr:uid="{00000000-0004-0000-0800-000070000000}"/>
    <hyperlink ref="E32" r:id="rId114" display="http://www.linkedin.com/learning/financial-accounting-part-1" xr:uid="{00000000-0004-0000-0800-000071000000}"/>
    <hyperlink ref="L32" r:id="rId115" display="https://www.linkedin.com/learning/creating-a-culture-of-learning-2020" xr:uid="{00000000-0004-0000-0800-000072000000}"/>
    <hyperlink ref="S32" r:id="rId116" display="https://www.linkedin.com/learning/comptia-security-plus-sy0-501-cert-prep-4-identity-and-access-management" xr:uid="{00000000-0004-0000-0800-000073000000}"/>
    <hyperlink ref="E33" r:id="rId117" display="http://www.linkedin.com/learning/applying-agile-moscow-prioritization" xr:uid="{00000000-0004-0000-0800-000074000000}"/>
    <hyperlink ref="L33" r:id="rId118" display="https://www.linkedin.com/learning/inclusion-during-difficult-times" xr:uid="{00000000-0004-0000-0800-000075000000}"/>
    <hyperlink ref="S33" r:id="rId119" display="https://www.linkedin.com/learning/applied-machine-learning-foundations" xr:uid="{00000000-0004-0000-0800-000076000000}"/>
    <hyperlink ref="E34" r:id="rId120" display="http://www.linkedin.com/learning/statistics-foundations-1" xr:uid="{00000000-0004-0000-0800-000077000000}"/>
    <hyperlink ref="L34" r:id="rId121" display="https://www.linkedin.com/learning/hiring-an-employee-for-managers-2019" xr:uid="{00000000-0004-0000-0800-000078000000}"/>
    <hyperlink ref="S34" r:id="rId122" display="https://www.linkedin.com/learning/numpy-data-science-essential-training" xr:uid="{00000000-0004-0000-0800-000079000000}"/>
    <hyperlink ref="E35" r:id="rId123" display="http://www.linkedin.com/learning/picking-the-right-chart-for-your-data" xr:uid="{00000000-0004-0000-0800-00007A000000}"/>
    <hyperlink ref="L35" r:id="rId124" display="https://www.linkedin.com/learning/ux-foundations-career-management" xr:uid="{00000000-0004-0000-0800-00007B000000}"/>
    <hyperlink ref="S35" r:id="rId125" display="https://www.linkedin.com/learning/learning-xai-explainable-artificial-intelligence" xr:uid="{00000000-0004-0000-0800-00007C000000}"/>
    <hyperlink ref="E36" r:id="rId126" display="https://www.linkedin.com/learning/learning-data-analytics-2/understanding-roles-in-data-analysis" xr:uid="{00000000-0004-0000-0800-00007D000000}"/>
    <hyperlink ref="L36" r:id="rId127" display="https://www.linkedin.com/learning/understanding-organisations-and-the-role-of-hr-uk" xr:uid="{00000000-0004-0000-0800-00007E000000}"/>
    <hyperlink ref="S36" r:id="rId128" display="https://www.linkedin.com/learning/machine-learning-and-ai-foundations-value-estimations" xr:uid="{00000000-0004-0000-0800-00007F000000}"/>
    <hyperlink ref="E37" r:id="rId129" display="https://www.linkedin.com/learning/foundations-of-managerial-accounting" xr:uid="{00000000-0004-0000-0800-000080000000}"/>
    <hyperlink ref="L37" r:id="rId130" display="https://www.linkedin.com/learning/human-resources-creating-an-employee-handbook" xr:uid="{00000000-0004-0000-0800-000081000000}"/>
    <hyperlink ref="S37" r:id="rId131" display="https://www.linkedin.com/learning/building-recommender-systems-with-machine-learning-and-ai" xr:uid="{00000000-0004-0000-0800-000082000000}"/>
    <hyperlink ref="E38" r:id="rId132" display="https://www.linkedin.com/learning/corporate-finance-foundations" xr:uid="{00000000-0004-0000-0800-000083000000}"/>
    <hyperlink ref="L38" r:id="rId133" display="https://www.linkedin.com/learning/human-resources-working-with-vendors-2" xr:uid="{00000000-0004-0000-0800-000084000000}"/>
    <hyperlink ref="S38" r:id="rId134" display="https://www.linkedin.com/learning/introduction-to-deep-learning-with-opencv" xr:uid="{00000000-0004-0000-0800-000085000000}"/>
    <hyperlink ref="E39" r:id="rId135" display="https://www.linkedin.com/learning/financial-accounting-foundations" xr:uid="{00000000-0004-0000-0800-000086000000}"/>
    <hyperlink ref="L39" r:id="rId136" display="https://www.linkedin.com/learning/managing-temporary-and-contract-employees" xr:uid="{00000000-0004-0000-0800-000087000000}"/>
    <hyperlink ref="S39" r:id="rId137" display="https://www.linkedin.com/learning/introduction-to-responsible-ai-algorithm-design" xr:uid="{00000000-0004-0000-0800-000088000000}"/>
    <hyperlink ref="E40" r:id="rId138" display="https://www.linkedin.com/learning/behavioral-finance-foundations" xr:uid="{00000000-0004-0000-0800-000089000000}"/>
    <hyperlink ref="L40" r:id="rId139" display="https://www.linkedin.com/learning/recruiting-foundations" xr:uid="{00000000-0004-0000-0800-00008A000000}"/>
    <hyperlink ref="S40" r:id="rId140" display="https://www.linkedin.com/learning/first-look-python-3-9" xr:uid="{00000000-0004-0000-0800-00008B000000}"/>
    <hyperlink ref="E41" r:id="rId141" display="https://www.linkedin.com/learning/analyzing-a-real-estate-deal" xr:uid="{00000000-0004-0000-0800-00008C000000}"/>
    <hyperlink ref="L41" r:id="rId142" display="https://www.linkedin.com/learning/rewarding-employee-performance" xr:uid="{00000000-0004-0000-0800-00008D000000}"/>
    <hyperlink ref="S41" r:id="rId143" display="https://www.linkedin.com/learning/outlook-automating-your-email-with-mail-rules" xr:uid="{00000000-0004-0000-0800-00008E000000}"/>
    <hyperlink ref="E42" r:id="rId144" display="https://www.linkedin.com/learning/quickbooks-payroll-essential-training" xr:uid="{00000000-0004-0000-0800-00008F000000}"/>
    <hyperlink ref="L42" r:id="rId145" display="https://www.linkedin.com/learning/letting-an-employee-go-2019" xr:uid="{00000000-0004-0000-0800-000090000000}"/>
    <hyperlink ref="S42" r:id="rId146" display="https://www.linkedin.com/learning/sap-materials-management-essential-training" xr:uid="{00000000-0004-0000-0800-000091000000}"/>
    <hyperlink ref="E43" r:id="rId147" display="https://www.linkedin.com/learning/business-financials-explained" xr:uid="{00000000-0004-0000-0800-000092000000}"/>
    <hyperlink ref="L43" r:id="rId148" display="https://www.linkedin.com/learning/establishing-work-from-home-policies" xr:uid="{00000000-0004-0000-0800-000093000000}"/>
    <hyperlink ref="S43" r:id="rId149" display="https://www.linkedin.com/learning/access-2019-building-dashboards-for-excel" xr:uid="{00000000-0004-0000-0800-000094000000}"/>
    <hyperlink ref="E44" r:id="rId150" display="https://www.linkedin.com/learning/income-statement-p-l-and-cash-flow-explained" xr:uid="{00000000-0004-0000-0800-000095000000}"/>
    <hyperlink ref="L44" r:id="rId151" display="https://www.linkedin.com/learning/bystander-training-from-bystander-to-upstander/supporting-upstanders" xr:uid="{00000000-0004-0000-0800-000096000000}"/>
    <hyperlink ref="S44" r:id="rId152" display="https://www.linkedin.com/learning/learning-sap-sd-sales-and-distribution" xr:uid="{00000000-0004-0000-0800-000097000000}"/>
    <hyperlink ref="E45" r:id="rId153" display="https://www.linkedin.com/learning/economics-for-everyone-understanding-a-recession" xr:uid="{00000000-0004-0000-0800-000098000000}"/>
    <hyperlink ref="L45" r:id="rId154" display="https://www.linkedin.com/learning/preventing-harassment-in-the-workplace" xr:uid="{00000000-0004-0000-0800-000099000000}"/>
    <hyperlink ref="S45" r:id="rId155" display="https://www.linkedin.com/learning/scaling-applications-with-microsoft-azure" xr:uid="{00000000-0004-0000-0800-00009A000000}"/>
    <hyperlink ref="E46" r:id="rId156" display="https://www.linkedin.com/learning/developing-investment-acumen" xr:uid="{00000000-0004-0000-0800-00009B000000}"/>
    <hyperlink ref="L46" r:id="rId157" display="https://www.linkedin.com/learning/adding-value-through-diversity" xr:uid="{00000000-0004-0000-0800-00009C000000}"/>
    <hyperlink ref="S46" r:id="rId158" display="https://www.linkedin.com/learning/powerpoint-8-easy-ways-to-make-your-presentations-look-better,https:/www.linkedin.com/learning/powerpoint-eight-easy-ways-to-make-your-presentation-stand-out" xr:uid="{00000000-0004-0000-0800-00009D000000}"/>
    <hyperlink ref="E47" r:id="rId159" display="https://www.linkedin.com/learning/finance-and-accounting-tips" xr:uid="{00000000-0004-0000-0800-00009E000000}"/>
    <hyperlink ref="L47" r:id="rId160" display="https://www.linkedin.com/learning/addiction-a-community-issue" xr:uid="{00000000-0004-0000-0800-00009F000000}"/>
    <hyperlink ref="S47" r:id="rId161" display="https://www.linkedin.com/learning/applied-ai-for-human-resources" xr:uid="{00000000-0004-0000-0800-0000A0000000}"/>
    <hyperlink ref="E48" r:id="rId162" display="https://www.linkedin.com/learning/activity-based-costing" xr:uid="{00000000-0004-0000-0800-0000A1000000}"/>
    <hyperlink ref="L48" r:id="rId163" display="https://www.linkedin.com/learning/introduction-to-the-phr-certification-exam" xr:uid="{00000000-0004-0000-0800-0000A2000000}"/>
    <hyperlink ref="S48" r:id="rId164" display="https://www.linkedin.com/learning/using-microsoft-teams-and-outlook-together-maximizing-productivity" xr:uid="{00000000-0004-0000-0800-0000A3000000}"/>
    <hyperlink ref="E49" r:id="rId165" display="https://www.linkedin.com/learning/corporate-finance-statement-analysis" xr:uid="{00000000-0004-0000-0800-0000A4000000}"/>
    <hyperlink ref="L49" r:id="rId166" display="https://www.linkedin.com/learning/virtual-interviewing-for-hr" xr:uid="{00000000-0004-0000-0800-0000A5000000}"/>
    <hyperlink ref="S49" r:id="rId167" display="https://www.linkedin.com/learning/microsoft-teams-successful-meetings-and-events" xr:uid="{00000000-0004-0000-0800-0000A6000000}"/>
    <hyperlink ref="E50" r:id="rId168" display="https://www.linkedin.com/learning/financial-record-keeping" xr:uid="{00000000-0004-0000-0800-0000A7000000}"/>
    <hyperlink ref="L50" r:id="rId169" display="https://www.linkedin.com/learning/administrative-human-resources" xr:uid="{00000000-0004-0000-0800-0000A8000000}"/>
    <hyperlink ref="S50" r:id="rId170" display="https://www.linkedin.com/learning/business-apps-for-sharepoint-monthly" xr:uid="{00000000-0004-0000-0800-0000A9000000}"/>
    <hyperlink ref="E51" r:id="rId171" display="https://www.linkedin.com/learning/recovering-from-a-financial-setback" xr:uid="{00000000-0004-0000-0800-0000AA000000}"/>
    <hyperlink ref="L51" r:id="rId172" display="https://www.linkedin.com/learning/building-a-talent-pipeline-from-new-recruits-to-leadership" xr:uid="{00000000-0004-0000-0800-0000AB000000}"/>
    <hyperlink ref="S51" r:id="rId173" display="https://www.linkedin.com/learning/applied-ai-for-it-operations" xr:uid="{00000000-0004-0000-0800-0000AC000000}"/>
    <hyperlink ref="E52" r:id="rId174" display="https://www.linkedin.com/learning/financial-basics-everyone-should-know" xr:uid="{00000000-0004-0000-0800-0000AD000000}"/>
    <hyperlink ref="L52" r:id="rId175" display="https://www.linkedin.com/learning/building-a-talent-pipeline-from-new-recruits-to-leadership" xr:uid="{00000000-0004-0000-0800-0000AE000000}"/>
    <hyperlink ref="S52" r:id="rId176" display="https://www.linkedin.com/learning/manage-apps-with-configuration-manager" xr:uid="{00000000-0004-0000-0800-0000AF000000}"/>
    <hyperlink ref="E53" r:id="rId177" display="https://www.linkedin.com/learning/lean-accounting-foundations" xr:uid="{00000000-0004-0000-0800-0000B0000000}"/>
    <hyperlink ref="L53" r:id="rId178" display="https://www.linkedin.com/learning/building-a-talent-pipeline-from-new-recruits-to-leadership" xr:uid="{00000000-0004-0000-0800-0000B1000000}"/>
    <hyperlink ref="S53" r:id="rId179" display="https://www.linkedin.com/learning/devops-foundations-infrastructure-as-code" xr:uid="{00000000-0004-0000-0800-0000B2000000}"/>
    <hyperlink ref="E54" r:id="rId180" display="https://www.linkedin.com/learning/economics-for-business-leaders" xr:uid="{00000000-0004-0000-0800-0000B3000000}"/>
    <hyperlink ref="L54" r:id="rId181" display="https://www.linkedin.com/learning/creating-a-leadership-development-program" xr:uid="{00000000-0004-0000-0800-0000B4000000}"/>
    <hyperlink ref="S54" r:id="rId182" display="https://www.linkedin.com/learning/windows-10-deploy-and-manage-virtual-applications" xr:uid="{00000000-0004-0000-0800-0000B5000000}"/>
    <hyperlink ref="E55" r:id="rId183" display="https://www.linkedin.com/learning/corporate-finance-strategies-for-business-leaders" xr:uid="{00000000-0004-0000-0800-0000B6000000}"/>
    <hyperlink ref="L55" r:id="rId184" display="https://www.linkedin.com/learning/driving-workplace-happiness" xr:uid="{00000000-0004-0000-0800-0000B7000000}"/>
    <hyperlink ref="R55" r:id="rId185" display="https://www.linkedin.com/learning/content/425902?u=104" xr:uid="{00000000-0004-0000-0800-0000B8000000}"/>
    <hyperlink ref="S55" r:id="rId186" display="https://www.linkedin.com/learning/sscp-cert-prep-7-systems-and-application-security" xr:uid="{00000000-0004-0000-0800-0000B9000000}"/>
    <hyperlink ref="E56" r:id="rId187" display="https://www.linkedin.com/learning/sap-business-one-finance-and-banking" xr:uid="{00000000-0004-0000-0800-0000BA000000}"/>
    <hyperlink ref="L56" r:id="rId188" display="https://www.linkedin.com/learning/employee-experience/four-stages-of-an-employee-experience" xr:uid="{00000000-0004-0000-0800-0000BB000000}"/>
    <hyperlink ref="S56" r:id="rId189" display="https://www.linkedin.com/learning/windows-presentation-foundation-1-build-dramatic-desktop-applications" xr:uid="{00000000-0004-0000-0800-0000BC000000}"/>
    <hyperlink ref="E57" r:id="rId190" display="https://www.linkedin.com/learning/corporate-finance-profitability-in-a-financial-downturn" xr:uid="{00000000-0004-0000-0800-0000BD000000}"/>
    <hyperlink ref="L57" r:id="rId191" display="https://www.linkedin.com/learning/finding-and-retaining-high-potentials" xr:uid="{00000000-0004-0000-0800-0000BE000000}"/>
    <hyperlink ref="S57" r:id="rId192" display="https://www.linkedin.com/learning/api-testing-foundations" xr:uid="{00000000-0004-0000-0800-0000BF000000}"/>
    <hyperlink ref="E58" r:id="rId193" display="https://www.linkedin.com/learning/accounting-foundations-managerial-accounting" xr:uid="{00000000-0004-0000-0800-0000C0000000}"/>
    <hyperlink ref="L58" r:id="rId194" display="https://www.linkedin.com/learning/hire-retain-and-grow-top-millennial-talent" xr:uid="{00000000-0004-0000-0800-0000C1000000}"/>
    <hyperlink ref="S58" r:id="rId195" display="https://www.linkedin.com/learning/devops-foundations-continuous-delivery-continuous-integration" xr:uid="{00000000-0004-0000-0800-0000C2000000}"/>
    <hyperlink ref="E59" r:id="rId196" display="https://www.linkedin.com/learning/finance-for-non-financial-managers" xr:uid="{00000000-0004-0000-0800-0000C3000000}"/>
    <hyperlink ref="L59" r:id="rId197" display="https://www.linkedin.com/learning/hiring-a-recruiting-firm" xr:uid="{00000000-0004-0000-0800-0000C4000000}"/>
    <hyperlink ref="S59" r:id="rId198" display="https://www.linkedin.com/learning/exploratory-testing" xr:uid="{00000000-0004-0000-0800-0000C5000000}"/>
    <hyperlink ref="E60" r:id="rId199" display="https://www.linkedin.com/learning/financial-analysis-analyzing-the-bottom-line-with-excel" xr:uid="{00000000-0004-0000-0800-0000C6000000}"/>
    <hyperlink ref="L60" r:id="rId200" display="https://www.linkedin.com/learning/hiring-contract-employees" xr:uid="{00000000-0004-0000-0800-0000C7000000}"/>
    <hyperlink ref="S60" r:id="rId201" display="https://www.linkedin.com/learning/python-automation-and-testing" xr:uid="{00000000-0004-0000-0800-0000C8000000}"/>
    <hyperlink ref="E61" r:id="rId202" display="https://www.linkedin.com/learning/financial-analysis-analyzing-the-top-line-with-excel" xr:uid="{00000000-0004-0000-0800-0000C9000000}"/>
    <hyperlink ref="L61" r:id="rId203" display="https://www.linkedin.com/learning/hiring-managing-and-separating-from-employees" xr:uid="{00000000-0004-0000-0800-0000CA000000}"/>
    <hyperlink ref="S61" r:id="rId204" display="https://www.linkedin.com/learning/jenkins-essential-training" xr:uid="{00000000-0004-0000-0800-0000CB000000}"/>
    <hyperlink ref="E62" r:id="rId205" display="https://www.linkedin.com/learning/financial-analysis-introduction-to-business-performance-analysis" xr:uid="{00000000-0004-0000-0800-0000CC000000}"/>
    <hyperlink ref="L62" r:id="rId206" display="https://www.linkedin.com/learning/hr-as-a-business-partner" xr:uid="{00000000-0004-0000-0800-0000CD000000}"/>
    <hyperlink ref="S62" r:id="rId207" display="https://www.linkedin.com/learning/amazon-web-services-automation-and-optimization" xr:uid="{00000000-0004-0000-0800-0000CE000000}"/>
    <hyperlink ref="E63" r:id="rId208" display="https://www.linkedin.com/learning/financial-analysis-making-business-projections" xr:uid="{00000000-0004-0000-0800-0000CF000000}"/>
    <hyperlink ref="L63" r:id="rId209" display="https://www.linkedin.com/learning/human-resources-compensation-and-benefits" xr:uid="{00000000-0004-0000-0800-0000D0000000}"/>
    <hyperlink ref="S63" r:id="rId210" display="https://www.linkedin.com/learning/api-test-automation-with-soapui" xr:uid="{00000000-0004-0000-0800-0000D1000000}"/>
    <hyperlink ref="E64" r:id="rId211" display="https://www.linkedin.com/learning/financial-forecasting-with-big-data" xr:uid="{00000000-0004-0000-0800-0000D2000000}"/>
    <hyperlink ref="L64" r:id="rId212" display="https://www.linkedin.com/learning/human-resources-job-structure-and-design" xr:uid="{00000000-0004-0000-0800-0000D3000000}"/>
    <hyperlink ref="S64" r:id="rId213" display="https://www.linkedin.com/learning/ccna-security-210-260-cert-prep-4-secure-routing-and-switching" xr:uid="{00000000-0004-0000-0800-0000D4000000}"/>
    <hyperlink ref="E65" r:id="rId214" display="https://www.linkedin.com/learning/forecasting-using-financial-statements" xr:uid="{00000000-0004-0000-0800-0000D5000000}"/>
    <hyperlink ref="L65" r:id="rId215" display="https://www.linkedin.com/learning/human-resources-managing-employee-problems" xr:uid="{00000000-0004-0000-0800-0000D6000000}"/>
    <hyperlink ref="S65" r:id="rId216" display="https://www.linkedin.com/learning/exchange-2016-client-access-services" xr:uid="{00000000-0004-0000-0800-0000D7000000}"/>
    <hyperlink ref="E66" r:id="rId217" display="https://www.linkedin.com/learning/protecting-profitability-by-reducing-financial-risk" xr:uid="{00000000-0004-0000-0800-0000D8000000}"/>
    <hyperlink ref="L66" r:id="rId218" display="https://www.linkedin.com/learning/human-resources-payroll" xr:uid="{00000000-0004-0000-0800-0000D9000000}"/>
    <hyperlink ref="S66" r:id="rId219" display="https://www.linkedin.com/learning/learning-g-suite-administration-2" xr:uid="{00000000-0004-0000-0800-0000DA000000}"/>
    <hyperlink ref="E67" r:id="rId220" display="https://www.linkedin.com/learning/using-the-time-value-of-money-to-make-financial-decisions" xr:uid="{00000000-0004-0000-0800-0000DB000000}"/>
    <hyperlink ref="L67" r:id="rId221" display="https://www.linkedin.com/learning/human-resources-running-company-onboarding" xr:uid="{00000000-0004-0000-0800-0000DC000000}"/>
    <hyperlink ref="S67" r:id="rId222" display="https://www.linkedin.com/learning/azure-administration-configure-and-manage-virtual-networks" xr:uid="{00000000-0004-0000-0800-0000DD000000}"/>
    <hyperlink ref="E68" r:id="rId223" display="https://www.linkedin.com/learning/sap-accounts-payable-boot-camp" xr:uid="{00000000-0004-0000-0800-0000DE000000}"/>
    <hyperlink ref="L68" r:id="rId224" display="https://www.linkedin.com/learning/human-resources-using-metrics-to-drive-hr-strategy" xr:uid="{00000000-0004-0000-0800-0000DF000000}"/>
    <hyperlink ref="S68" r:id="rId225" display="https://www.linkedin.com/learning/configuration-manager-configure-and-maintain-a-management-infrastructure" xr:uid="{00000000-0004-0000-0800-0000E0000000}"/>
    <hyperlink ref="E69" r:id="rId226" display="http://www.linkedin.com/learning/excel-economic-analysis-and-data-analytics" xr:uid="{00000000-0004-0000-0800-0000E1000000}"/>
    <hyperlink ref="L69" r:id="rId227" display="https://www.linkedin.com/learning/organizational-learning-and-development" xr:uid="{00000000-0004-0000-0800-0000E2000000}"/>
    <hyperlink ref="S69" r:id="rId228" display="https://www.linkedin.com/learning/network-virtualization-sdn-overlay-solutions" xr:uid="{00000000-0004-0000-0800-0000E3000000}"/>
    <hyperlink ref="E70" r:id="rId229" display="http://www.linkedin.com/learning/finance-essentials-for-small-business" xr:uid="{00000000-0004-0000-0800-0000E4000000}"/>
    <hyperlink ref="L70" r:id="rId230" display="https://www.linkedin.com/learning/performance-based-hiring/marketing-jobs-for-top-talent" xr:uid="{00000000-0004-0000-0800-0000E5000000}"/>
    <hyperlink ref="S70" r:id="rId231" display="https://www.linkedin.com/learning/azure-administration-manage-subscriptions-and-resources" xr:uid="{00000000-0004-0000-0800-0000E6000000}"/>
    <hyperlink ref="E71" r:id="rId232" display="http://www.linkedin.com/learning/contracting-for-consultants" xr:uid="{00000000-0004-0000-0800-0000E7000000}"/>
    <hyperlink ref="L71" r:id="rId233" display="https://www.linkedin.com/learning/recruiting-veterans" xr:uid="{00000000-0004-0000-0800-0000E8000000}"/>
    <hyperlink ref="S71" r:id="rId234" display="https://www.linkedin.com/learning/machine-learning-and-ai-foundations-recommendations" xr:uid="{00000000-0004-0000-0800-0000E9000000}"/>
    <hyperlink ref="E72" r:id="rId235" display="http://www.linkedin.com/learning/financial-modeling-foundations" xr:uid="{00000000-0004-0000-0800-0000EA000000}"/>
    <hyperlink ref="L72" r:id="rId236" display="https://www.linkedin.com/learning/strategic-human-resources" xr:uid="{00000000-0004-0000-0800-0000EB000000}"/>
    <hyperlink ref="S72" r:id="rId237" display="https://www.linkedin.com/learning/azure-administration-deploy-and-manage-virtual-machines" xr:uid="{00000000-0004-0000-0800-0000EC000000}"/>
    <hyperlink ref="E73" r:id="rId238" display="http://www.linkedin.com/learning/consulting-foundations-client-management-and-relationships" xr:uid="{00000000-0004-0000-0800-0000ED000000}"/>
    <hyperlink ref="L73" r:id="rId239" display="https://www.linkedin.com/learning/talent-sourcing" xr:uid="{00000000-0004-0000-0800-0000EE000000}"/>
    <hyperlink ref="S73" r:id="rId240" display="https://www.linkedin.com/learning/text-analytics-and-predictions-with-python-essential-training" xr:uid="{00000000-0004-0000-0800-0000EF000000}"/>
    <hyperlink ref="E74" r:id="rId241" display="http://www.linkedin.com/learning/critical-roles-consultants-play-and-the-skills-you-need-to-fill-them" xr:uid="{00000000-0004-0000-0800-0000F0000000}"/>
    <hyperlink ref="L74" r:id="rId242" display="https://www.linkedin.com/learning/interviewing-techniques-2019" xr:uid="{00000000-0004-0000-0800-0000F1000000}"/>
    <hyperlink ref="S74" r:id="rId243" display="https://www.linkedin.com/learning/ai-accountability-essential-training" xr:uid="{00000000-0004-0000-0800-0000F2000000}"/>
    <hyperlink ref="E75" r:id="rId244" display="http://www.linkedin.com/learning/focusing-on-the-bottom-line-as-an-employee" xr:uid="{00000000-0004-0000-0800-0000F3000000}"/>
    <hyperlink ref="L75" r:id="rId245" display="https://www.linkedin.com/learning/success-metrics-in-your-l-d-program" xr:uid="{00000000-0004-0000-0800-0000F4000000}"/>
    <hyperlink ref="S75" r:id="rId246" display="https://www.linkedin.com/learning/deep-learning-image-recognition" xr:uid="{00000000-0004-0000-0800-0000F5000000}"/>
    <hyperlink ref="E76" r:id="rId247" display="http://www.linkedin.com/learning/excel-for-investment-professionals" xr:uid="{00000000-0004-0000-0800-0000F6000000}"/>
    <hyperlink ref="L76" r:id="rId248" display="https://www.linkedin.com/learning/diversity-recruiting-2020" xr:uid="{00000000-0004-0000-0800-0000F7000000}"/>
    <hyperlink ref="S76" r:id="rId249" display="https://www.linkedin.com/learning/deep-learning-face-recognition" xr:uid="{00000000-0004-0000-0800-0000F8000000}"/>
    <hyperlink ref="E77" r:id="rId250" display="https://www.linkedin.com/learning/excel-2016-financial-functions-in-depth" xr:uid="{00000000-0004-0000-0800-0000F9000000}"/>
    <hyperlink ref="L77" r:id="rId251" display="https://www.linkedin.com/learning/interviewing-a-job-candidate-for-recruiters-2020" xr:uid="{00000000-0004-0000-0800-0000FA000000}"/>
    <hyperlink ref="S77" r:id="rId252" display="https://www.linkedin.com/learning/algorithmic-trading-and-finance-models-with-python-r-and-stata-essential-training" xr:uid="{00000000-0004-0000-0800-0000FB000000}"/>
    <hyperlink ref="E78" r:id="rId253" display="https://www.linkedin.com/learning/excel-for-corporate-finance-professionals" xr:uid="{00000000-0004-0000-0800-0000FC000000}"/>
    <hyperlink ref="L78" r:id="rId254" display="https://www.linkedin.com/learning/working-with-prehire-assessments" xr:uid="{00000000-0004-0000-0800-0000FD000000}"/>
    <hyperlink ref="S78" r:id="rId255" display="https://www.linkedin.com/learning/power-bi-data-modeling-with-dax" xr:uid="{00000000-0004-0000-0800-0000FE000000}"/>
    <hyperlink ref="E79" r:id="rId256" display="https://www.linkedin.com/learning/corporate-finance-robust-financial-modeling" xr:uid="{00000000-0004-0000-0800-0000FF000000}"/>
    <hyperlink ref="L79" r:id="rId257" display="https://www.linkedin.com/learning/setting-and-managing-realistic-expectations-for-your-l-d-program" xr:uid="{00000000-0004-0000-0800-000000010000}"/>
    <hyperlink ref="E80" r:id="rId258" display="http://www.linkedin.com/learning/information-management-document-security" xr:uid="{00000000-0004-0000-0800-000001010000}"/>
    <hyperlink ref="L80" r:id="rId259" display="https://www.linkedin.com/learning/rolling-out-a-dibs-training-program-in-your-company" xr:uid="{00000000-0004-0000-0800-000002010000}"/>
    <hyperlink ref="E81" r:id="rId260" display="http://www.linkedin.com/learning/increasing-engagement-with-elearning-programs" xr:uid="{00000000-0004-0000-0800-000003010000}"/>
    <hyperlink ref="L81" r:id="rId261" display="https://www.linkedin.com/learning/managing-misconduct-in-the-workplace-uk" xr:uid="{00000000-0004-0000-0800-000004010000}"/>
    <hyperlink ref="E82" r:id="rId262" display="http://www.linkedin.com/learning/agile-foundations" xr:uid="{00000000-0004-0000-0800-000005010000}"/>
    <hyperlink ref="L82" r:id="rId263" display="https://www.linkedin.com/learning/adobe-captivate-advanced-actions" xr:uid="{00000000-0004-0000-0800-000006010000}"/>
    <hyperlink ref="E83" r:id="rId264" display="http://www.linkedin.com/learning/managing-international-projects-2" xr:uid="{00000000-0004-0000-0800-000007010000}"/>
    <hyperlink ref="L83" r:id="rId265" display="https://www.linkedin.com/learning/converting-face-to-face-training-into-digital-learning" xr:uid="{00000000-0004-0000-0800-000008010000}"/>
    <hyperlink ref="E84" r:id="rId266" display="http://www.linkedin.com/learning/statistics-foundations-2" xr:uid="{00000000-0004-0000-0800-000009010000}"/>
    <hyperlink ref="L84" r:id="rId267" display="https://www.linkedin.com/learning/articulate-storyline-quick-tips" xr:uid="{00000000-0004-0000-0800-00000A010000}"/>
    <hyperlink ref="E85" r:id="rId268" display="http://www.linkedin.com/learning/data-analytics-for-business-professionals" xr:uid="{00000000-0004-0000-0800-00000B010000}"/>
    <hyperlink ref="L85" r:id="rId269" display="https://www.linkedin.com/learning/leadership-mindsets" xr:uid="{00000000-0004-0000-0800-00000C010000}"/>
    <hyperlink ref="E86" r:id="rId270" display="http://www.linkedin.com/learning/algorithmic-trading-and-stocks-essential-training" xr:uid="{00000000-0004-0000-0800-00000D010000}"/>
    <hyperlink ref="E87" r:id="rId271" display="http://www.linkedin.com/learning/data-analytics-for-pricing-analysts-in-excel" xr:uid="{00000000-0004-0000-0800-00000E010000}"/>
    <hyperlink ref="E88" r:id="rId272" display="http://www.linkedin.com/learning/sql-for-statistics-essential-training" xr:uid="{00000000-0004-0000-0800-00000F010000}"/>
    <hyperlink ref="E89" r:id="rId273" display="https://www.linkedin.com/learning/financial-modeling-and-forecasting-financial-statements" xr:uid="{00000000-0004-0000-0800-000010010000}"/>
    <hyperlink ref="E90" r:id="rId274" display="https://www.linkedin.com/learning/accounting-foundations-leases" xr:uid="{00000000-0004-0000-0800-000011010000}"/>
    <hyperlink ref="E91" r:id="rId275" display="https://www.linkedin.com/learning/excel-implementing-balanced-scorecards-with-kpis" xr:uid="{00000000-0004-0000-0800-000012010000}"/>
    <hyperlink ref="E92" r:id="rId276" display="https://www.linkedin.com/learning/accounting-foundations-internal-controls" xr:uid="{00000000-0004-0000-0800-000013010000}"/>
    <hyperlink ref="E93" r:id="rId277" display="https://www.linkedin.com/learning/evaluating-business-investment-decisions" xr:uid="{00000000-0004-0000-0800-000014010000}"/>
    <hyperlink ref="E94" r:id="rId278" display="https://www.linkedin.com/learning/ai-in-fintech-essential-training" xr:uid="{00000000-0004-0000-0800-000015010000}"/>
    <hyperlink ref="E95" r:id="rId279" display="https://www.linkedin.com/learning/accounting-foundations-cost-based-pricing-strategies" xr:uid="{00000000-0004-0000-0800-00001601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xr:uid="{00000000-0002-0000-0800-000000000000}">
          <x14:formula1>
            <xm:f>'All Competencies'!$A$3:$A596</xm:f>
          </x14:formula1>
          <xm:sqref>A1:C1 G1:J1 N1:Q1 U1:V1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14</vt:i4>
      </vt:variant>
    </vt:vector>
  </HeadingPairs>
  <TitlesOfParts>
    <vt:vector size="14" baseType="lpstr">
      <vt:lpstr>HOW TO USE THIS DOCUMENT</vt:lpstr>
      <vt:lpstr>All Competencies</vt:lpstr>
      <vt:lpstr>Table of Contents</vt:lpstr>
      <vt:lpstr>Competency Learning Paths</vt:lpstr>
      <vt:lpstr>Competencies 1-3</vt:lpstr>
      <vt:lpstr>Competencies 4-6</vt:lpstr>
      <vt:lpstr>Competencies 7-9</vt:lpstr>
      <vt:lpstr>Competencies 10-12</vt:lpstr>
      <vt:lpstr>Competencies 13-15</vt:lpstr>
      <vt:lpstr>Competencies 16-18</vt:lpstr>
      <vt:lpstr>Competencies 19-21</vt:lpstr>
      <vt:lpstr>Competencies 22-24</vt:lpstr>
      <vt:lpstr>Competencies 25-27</vt:lpstr>
      <vt:lpstr>Competencies 28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Pamela Tellez</cp:lastModifiedBy>
  <dcterms:modified xsi:type="dcterms:W3CDTF">2020-12-19T00:08:18Z</dcterms:modified>
</cp:coreProperties>
</file>